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sripfingerlakes-my.sharepoint.com/personal/katherine_rogala_flpps_org/Documents/Desktop/"/>
    </mc:Choice>
  </mc:AlternateContent>
  <xr:revisionPtr revIDLastSave="0" documentId="8_{68CE64B3-4CF5-42A9-90B5-3576A5A1D491}" xr6:coauthVersionLast="47" xr6:coauthVersionMax="47" xr10:uidLastSave="{00000000-0000-0000-0000-000000000000}"/>
  <bookViews>
    <workbookView xWindow="-28920" yWindow="-30" windowWidth="29040" windowHeight="15840" firstSheet="8" xr2:uid="{B464717D-E52A-4445-A7DF-45E06E7D4E17}"/>
  </bookViews>
  <sheets>
    <sheet name="Total Budget " sheetId="1" r:id="rId1"/>
    <sheet name="BOCES" sheetId="3" r:id="rId2"/>
    <sheet name="Employers" sheetId="4" r:id="rId3"/>
    <sheet name="Complex Care Program" sheetId="5" r:id="rId4"/>
    <sheet name="Transportation" sheetId="7" r:id="rId5"/>
    <sheet name="Wellness Associates" sheetId="8" r:id="rId6"/>
    <sheet name="AVS Consulting" sheetId="9" r:id="rId7"/>
    <sheet name="Refugees Helping Refugees" sheetId="10" r:id="rId8"/>
    <sheet name="HEC" sheetId="12" r:id="rId9"/>
    <sheet name="CCSI" sheetId="1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 r="C32" i="1"/>
  <c r="D6" i="12"/>
  <c r="B6" i="12"/>
  <c r="D5" i="12"/>
  <c r="B4" i="12"/>
  <c r="D3" i="12"/>
  <c r="D4" i="12" s="1"/>
  <c r="H3" i="8"/>
  <c r="B7" i="10"/>
  <c r="C8" i="11"/>
  <c r="D8" i="11"/>
  <c r="E8" i="11"/>
  <c r="B8" i="11"/>
  <c r="F8" i="11" s="1"/>
  <c r="D33" i="1" s="1"/>
  <c r="F6" i="11"/>
  <c r="F5" i="11"/>
  <c r="F4" i="11"/>
  <c r="F3" i="11"/>
  <c r="C33" i="1" l="1"/>
  <c r="C16" i="10"/>
  <c r="D16" i="10"/>
  <c r="E16" i="10"/>
  <c r="B16" i="10"/>
  <c r="C20" i="10"/>
  <c r="D20" i="10"/>
  <c r="E20" i="10"/>
  <c r="B20" i="10"/>
  <c r="D26" i="1"/>
  <c r="C26" i="1"/>
  <c r="C13" i="1"/>
  <c r="D13" i="1"/>
  <c r="D12" i="1"/>
  <c r="C12" i="1"/>
  <c r="E23" i="10"/>
  <c r="D23" i="10"/>
  <c r="C23" i="10"/>
  <c r="B23" i="10"/>
  <c r="F14" i="10"/>
  <c r="F5" i="10"/>
  <c r="F6" i="10"/>
  <c r="F4" i="10"/>
  <c r="C15" i="10"/>
  <c r="D15" i="10"/>
  <c r="E15" i="10"/>
  <c r="B15" i="10"/>
  <c r="C7" i="10"/>
  <c r="D7" i="10"/>
  <c r="E7" i="10"/>
  <c r="E9" i="10" s="1"/>
  <c r="E11" i="10" s="1"/>
  <c r="B9" i="10"/>
  <c r="B6" i="7"/>
  <c r="E6" i="7" s="1"/>
  <c r="B5" i="7"/>
  <c r="E5" i="7" s="1"/>
  <c r="B4" i="7"/>
  <c r="E4" i="7" s="1"/>
  <c r="B3" i="7"/>
  <c r="E3" i="7" s="1"/>
  <c r="B22" i="4"/>
  <c r="D22" i="4" s="1"/>
  <c r="B21" i="4"/>
  <c r="D21" i="4" s="1"/>
  <c r="B20" i="4"/>
  <c r="D20" i="4" s="1"/>
  <c r="D17" i="4"/>
  <c r="D3" i="8"/>
  <c r="F12" i="3"/>
  <c r="F44" i="3" s="1"/>
  <c r="G44" i="3" s="1"/>
  <c r="B44" i="3"/>
  <c r="C44" i="3"/>
  <c r="D44" i="3"/>
  <c r="E44" i="3"/>
  <c r="D5" i="1"/>
  <c r="F15" i="10" l="1"/>
  <c r="F7" i="10"/>
  <c r="F20" i="10"/>
  <c r="D9" i="10"/>
  <c r="D11" i="10" s="1"/>
  <c r="E17" i="10"/>
  <c r="E25" i="10" s="1"/>
  <c r="C17" i="10"/>
  <c r="D17" i="10"/>
  <c r="D25" i="10" s="1"/>
  <c r="F16" i="10"/>
  <c r="B17" i="10"/>
  <c r="B11" i="10"/>
  <c r="B25" i="10" s="1"/>
  <c r="F25" i="10" s="1"/>
  <c r="C9" i="10"/>
  <c r="F23" i="10"/>
  <c r="E8" i="7"/>
  <c r="D22" i="1"/>
  <c r="B4" i="9"/>
  <c r="B5" i="9" s="1"/>
  <c r="D3" i="9"/>
  <c r="D4" i="9" s="1"/>
  <c r="D5" i="8"/>
  <c r="B7" i="5"/>
  <c r="D5" i="5"/>
  <c r="D4" i="5"/>
  <c r="D3" i="5"/>
  <c r="D6" i="5" s="1"/>
  <c r="C22" i="4"/>
  <c r="C21" i="4"/>
  <c r="C20" i="4"/>
  <c r="B6" i="4"/>
  <c r="B7" i="4" s="1"/>
  <c r="D5" i="4"/>
  <c r="D4" i="4"/>
  <c r="E45" i="3"/>
  <c r="D45" i="3"/>
  <c r="C45" i="3"/>
  <c r="B45" i="3"/>
  <c r="E42" i="3"/>
  <c r="D42" i="3"/>
  <c r="C42" i="3"/>
  <c r="B42" i="3"/>
  <c r="F40" i="3"/>
  <c r="F39" i="3"/>
  <c r="F38" i="3"/>
  <c r="F37" i="3"/>
  <c r="F34" i="3"/>
  <c r="F33" i="3"/>
  <c r="F32" i="3"/>
  <c r="F29" i="3"/>
  <c r="G30" i="3" s="1"/>
  <c r="F23" i="3"/>
  <c r="F22" i="3"/>
  <c r="F21" i="3"/>
  <c r="F18" i="3"/>
  <c r="F17" i="3"/>
  <c r="F16" i="3"/>
  <c r="F13" i="3"/>
  <c r="F9" i="3"/>
  <c r="F8" i="3"/>
  <c r="F5" i="3"/>
  <c r="F4" i="3"/>
  <c r="D21" i="1"/>
  <c r="D20" i="1"/>
  <c r="D18" i="1"/>
  <c r="D17" i="1"/>
  <c r="D7" i="1"/>
  <c r="D6" i="1"/>
  <c r="D5" i="9" l="1"/>
  <c r="D30" i="1" s="1"/>
  <c r="C30" i="1"/>
  <c r="F17" i="10"/>
  <c r="F9" i="10"/>
  <c r="C31" i="1"/>
  <c r="C28" i="1"/>
  <c r="D7" i="5"/>
  <c r="D27" i="1" s="1"/>
  <c r="C27" i="1"/>
  <c r="C11" i="10"/>
  <c r="C25" i="10" s="1"/>
  <c r="D31" i="1" s="1"/>
  <c r="E13" i="7"/>
  <c r="E12" i="7"/>
  <c r="E11" i="7"/>
  <c r="E10" i="7"/>
  <c r="E15" i="7" s="1"/>
  <c r="D28" i="1" s="1"/>
  <c r="B6" i="8"/>
  <c r="B7" i="8" s="1"/>
  <c r="G24" i="3"/>
  <c r="G41" i="3"/>
  <c r="C3" i="4"/>
  <c r="D3" i="4" s="1"/>
  <c r="D6" i="4" s="1"/>
  <c r="D7" i="4" s="1"/>
  <c r="H6" i="8"/>
  <c r="D4" i="8"/>
  <c r="B23" i="4"/>
  <c r="G35" i="3"/>
  <c r="B47" i="3"/>
  <c r="C25" i="1" s="1"/>
  <c r="G10" i="3"/>
  <c r="C47" i="3"/>
  <c r="D47" i="3"/>
  <c r="G6" i="3"/>
  <c r="G19" i="3"/>
  <c r="E47" i="3"/>
  <c r="G14" i="3"/>
  <c r="F45" i="3"/>
  <c r="G45" i="3" s="1"/>
  <c r="F11" i="10" l="1"/>
  <c r="D6" i="8"/>
  <c r="G42" i="3"/>
  <c r="G47" i="3" s="1"/>
  <c r="D25" i="1" s="1"/>
  <c r="D23" i="4"/>
  <c r="F47" i="3"/>
  <c r="D7" i="8" l="1"/>
  <c r="D29" i="1" s="1"/>
  <c r="D35" i="1" s="1"/>
  <c r="D37" i="1" s="1"/>
  <c r="D38" i="1" s="1"/>
  <c r="D39" i="1" s="1"/>
  <c r="C29" i="1"/>
  <c r="C35" i="1" s="1"/>
  <c r="C37" i="1" l="1"/>
  <c r="C38" i="1" s="1"/>
  <c r="C39" i="1" s="1"/>
</calcChain>
</file>

<file path=xl/sharedStrings.xml><?xml version="1.0" encoding="utf-8"?>
<sst xmlns="http://schemas.openxmlformats.org/spreadsheetml/2006/main" count="203" uniqueCount="169">
  <si>
    <t>Bring Monroe Back - Monroe County ARPA Budget Proposal</t>
  </si>
  <si>
    <t>Organization Name: Finger Lakes Performing Provider System, Inc.  (FLPPS)</t>
  </si>
  <si>
    <t xml:space="preserve">Personnel Costs                                                                                                       List Each Employee Name, Title/Position </t>
  </si>
  <si>
    <t>Proposed Expenditures for Year 1 (2023)</t>
  </si>
  <si>
    <t>Proposed Expenditures for Years 1-4 (2023-2026)</t>
  </si>
  <si>
    <t>Katherine Rogala, Senior Director of Program Management</t>
  </si>
  <si>
    <t>Kristina Owens, Senior Program Manager</t>
  </si>
  <si>
    <t>To be hired, Program Coordinator</t>
  </si>
  <si>
    <r>
      <t xml:space="preserve">Fringe Benefits: </t>
    </r>
    <r>
      <rPr>
        <sz val="10"/>
        <color theme="1"/>
        <rFont val="Calibri"/>
        <family val="2"/>
      </rPr>
      <t>FICA, UI, Life, Dental and Health insurance, Retirement (401K), WC</t>
    </r>
  </si>
  <si>
    <t>Total Personnel Costs:</t>
  </si>
  <si>
    <t>Other Than Personnel Services Costs</t>
  </si>
  <si>
    <t>Travel (visit program sites, attend meetings- IRS mileage rate)</t>
  </si>
  <si>
    <t>Supplies (minor program supplies: paper, printing, toner- 3 staff)</t>
  </si>
  <si>
    <t>Laptops (for to-be-hired Program Coordinator in Year 1)</t>
  </si>
  <si>
    <t>Mobile Plan (for Program Coordinator)</t>
  </si>
  <si>
    <t>Office rent (prorated share of office leased space)</t>
  </si>
  <si>
    <t>Learning Management System (workers will be able to access extensive training on FLPPS online Learning Management System which tracks course completion by participant.  Funds will cover prorated share of system expense including user licensing costs for 400 individuals ($35,000) - and elearning content development ($15,000) in year 1;  and $35,000 in user licensing costs for 400 individuals in years 2, 3 and 4)</t>
  </si>
  <si>
    <t>Long Term Care Healthcare Career Awareness Champaign (FLPPS will conduct a health care career pathways awareness campaign in cooperation with community partners to make people aware of the opportunities available in long term health care and increase the number of persons in the labor force)</t>
  </si>
  <si>
    <t>Subcontracted Expenses (please see tabs for detail)</t>
  </si>
  <si>
    <t xml:space="preserve">     BOCES Training Programs</t>
  </si>
  <si>
    <t xml:space="preserve">     Employers- for workforce component (HHCAs and SNFs)</t>
  </si>
  <si>
    <t xml:space="preserve">     Complex Care Program</t>
  </si>
  <si>
    <t xml:space="preserve">     Transportation</t>
  </si>
  <si>
    <t xml:space="preserve">     Wellness Associates (Agency will provide Mental Health First Aid Training)</t>
  </si>
  <si>
    <t xml:space="preserve">     AVS Consulting Strategies  (Agency will provide students  with the tools to confidently enter a healthcare career and/or a new position)</t>
  </si>
  <si>
    <t xml:space="preserve">    Refugees Helping Refugees (Agency will support refugees with pre-employment skill development and serve as a recruiter for health care workers).</t>
  </si>
  <si>
    <t xml:space="preserve">    Hospital Executive Council (Agency will provide consulting services to assist with establishing the Complex Care Program)</t>
  </si>
  <si>
    <t xml:space="preserve">    Coordinated Care Services, Inc. (Agency will provide consultation and training in the areas of cultural competence / diversity, equity, &amp; inclusion / trauma informed care  practice )</t>
  </si>
  <si>
    <t>Total Other Than Personnel Services Costs:</t>
  </si>
  <si>
    <t>Subtotal</t>
  </si>
  <si>
    <t>Indirect @ 8%</t>
  </si>
  <si>
    <t>Total Project Cost:</t>
  </si>
  <si>
    <t>BOCES</t>
  </si>
  <si>
    <t>Total</t>
  </si>
  <si>
    <t>Note</t>
  </si>
  <si>
    <t>Early High School Summer Experience</t>
  </si>
  <si>
    <t xml:space="preserve">Staffing (Instructors, Student Support) </t>
  </si>
  <si>
    <t xml:space="preserve">Programs Costs (Materials, Field Trips/Transportation) </t>
  </si>
  <si>
    <t>Nurse Assistant Training for High School 11-12th grade students at WEMOCO</t>
  </si>
  <si>
    <t xml:space="preserve">Staffing </t>
  </si>
  <si>
    <t xml:space="preserve">Programs Costs (Equipment, Materials) </t>
  </si>
  <si>
    <t>Nursing Assistant Training program for Adults at CWD</t>
  </si>
  <si>
    <t xml:space="preserve">Tuition Assistance Scholarships for up to 50 students per year ($2,500/student yr. 1) </t>
  </si>
  <si>
    <t>Employer covered expense</t>
  </si>
  <si>
    <t xml:space="preserve">Equipment (2 Simulator Mannequins/year over 3 years-$40K, Lab Furniture) </t>
  </si>
  <si>
    <t>Nursing Assistant Refresher Training</t>
  </si>
  <si>
    <t>Tuition Assistance (Scholarships for up to 24 students per year)</t>
  </si>
  <si>
    <t xml:space="preserve">Written Portion only ($220/student yr. 1) </t>
  </si>
  <si>
    <t xml:space="preserve">Clinical/Skills Portion only ($290/student yr. 1) </t>
  </si>
  <si>
    <t>Home Health Aide at CWD</t>
  </si>
  <si>
    <t xml:space="preserve">Staffing - Program Development </t>
  </si>
  <si>
    <t xml:space="preserve">Staffing - Instruction </t>
  </si>
  <si>
    <t xml:space="preserve">Program Costs (Equipment) </t>
  </si>
  <si>
    <t>Patient Care Technician</t>
  </si>
  <si>
    <t>Practical Nurse Entrance Exam Preparation Course</t>
  </si>
  <si>
    <t xml:space="preserve">Tuition Support ($250 each for up to 50 students ) </t>
  </si>
  <si>
    <t>Practical Nursing Program</t>
  </si>
  <si>
    <t xml:space="preserve">Staffing - Program Development (Health Coord and Consultant Costs) </t>
  </si>
  <si>
    <t xml:space="preserve">Staffing - Instruction (RN Instructors/Coord) </t>
  </si>
  <si>
    <t xml:space="preserve">Program Costs (Equipment, Materials) </t>
  </si>
  <si>
    <t>Student Support Services and Administrative</t>
  </si>
  <si>
    <t xml:space="preserve">Marketing/Promotions for Healthcare Professions (design, publications, video) </t>
  </si>
  <si>
    <t xml:space="preserve">Staffing (administrative, financial) </t>
  </si>
  <si>
    <t xml:space="preserve">Healthcare Professions Staffing (Work-based Learning Coord., Integrated Instructor) </t>
  </si>
  <si>
    <t xml:space="preserve">Facilities (classroom lease costs if needed) </t>
  </si>
  <si>
    <t xml:space="preserve">TOTAL Estimated Costs </t>
  </si>
  <si>
    <t>Adjusted for Scholarships - Employers will be paying for Tuition from incentive funding</t>
  </si>
  <si>
    <t>Adjusted for CNA Refresher Training</t>
  </si>
  <si>
    <t>Totals</t>
  </si>
  <si>
    <t>Programs and services described in Letter of Commitment from BOCES. This funding will build capacity at BOCES, develop a pipeline of students from 9th and 10th grade and expose them to health careers, add a Nursing Assistant training component, add a refresher component for people who completed Nursing Assistant coursework but did not receive their certificate, add an Practical Nurse  component as well as an exam preparation course and cover the gaps currently missing in the career pathways system.</t>
  </si>
  <si>
    <t>Employers</t>
  </si>
  <si>
    <t>Job</t>
  </si>
  <si>
    <t>Annual # of Employees</t>
  </si>
  <si>
    <t>$ Payment</t>
  </si>
  <si>
    <t>Notes</t>
  </si>
  <si>
    <t>Assumptions</t>
  </si>
  <si>
    <t>CNAs/HHAs</t>
  </si>
  <si>
    <t xml:space="preserve">$11,500 to be paid to SNF or homecare agency after verification of H.H.A./C.N.A. training completion per individual trained. Payments will be made under a voucher system in coordination with SNFs and Home Health Care Agencies located within Monroe County. </t>
  </si>
  <si>
    <t>LPN</t>
  </si>
  <si>
    <t>Funds to be provided by way of scholarship and wage stipends to the employers of individuals trained as a new LPN within Monroe County (see criteria in TC3 Project Description).</t>
  </si>
  <si>
    <t>RN</t>
  </si>
  <si>
    <t>Funds to be provided by way of scholarship and wage stipends to the employers of individuals trained as new RNs within Monroe County (see criteria in TC3 Project Description).</t>
  </si>
  <si>
    <t>Year 1 Total</t>
  </si>
  <si>
    <t>400 additional health care workers per year added to the workforce.  As workers "move through" the career pathway, new workers are being recruited by program partners and employed by SNFs and HHCAs to take their place</t>
  </si>
  <si>
    <t>Year 1-4 Total</t>
  </si>
  <si>
    <t>CNA and HHA Training Estimates</t>
  </si>
  <si>
    <t>Wages</t>
  </si>
  <si>
    <t>HHA training shorter in duration than CNA.  Funds can be flexibly used to support workers but are expected to be used in roughly these proportions of wages, benefits, wrap around supports (childcare, transportation, rent, etc.) and bonuses.</t>
  </si>
  <si>
    <t>5 weeks of training at employer prevailing wage (estimate)</t>
  </si>
  <si>
    <t>Benefits</t>
  </si>
  <si>
    <t>Fringe rate of ~32% used as an estimate</t>
  </si>
  <si>
    <t>Sign on bonus</t>
  </si>
  <si>
    <t xml:space="preserve">Completion bonus </t>
  </si>
  <si>
    <t>Tuition</t>
  </si>
  <si>
    <t>Wrap around support</t>
  </si>
  <si>
    <t>Retention bonus</t>
  </si>
  <si>
    <t>Retention after 6 months of employment</t>
  </si>
  <si>
    <t>CNA/HHA</t>
  </si>
  <si>
    <t>Complex Care Program</t>
  </si>
  <si>
    <t>Tier</t>
  </si>
  <si>
    <t># of Patients</t>
  </si>
  <si>
    <t>4 Years</t>
  </si>
  <si>
    <r>
      <t xml:space="preserve">The transformational Complex Care Program will provide block grant support to nursing homes to aide with the excessive costs of difficult to place or complex nursing home patients who are more expensive to care for and currently not being accepted by SNFs.     SNFs will be eligible for funding for complex patients needing SNF placement based on varying degrees of clinical complexity as defined by a three-tier rating system.   </t>
    </r>
    <r>
      <rPr>
        <b/>
        <i/>
        <sz val="11"/>
        <color theme="1"/>
        <rFont val="Calibri"/>
        <family val="2"/>
        <scheme val="minor"/>
      </rPr>
      <t>Please see attachment titled TC3 Complex Care Program Criteria for more detail on the three-tier rating system</t>
    </r>
    <r>
      <rPr>
        <b/>
        <sz val="11"/>
        <color theme="1"/>
        <rFont val="Calibri"/>
        <family val="2"/>
        <scheme val="minor"/>
      </rPr>
      <t xml:space="preserve">.   In this program,  FLPPS will facilitate the SNF admissions as follows:   
   1. A hospital makes a referral to a SNF 
   2. The referral will be sent to FLPPS for analysis 
   3. SNF will receive payment once a threshold of placement is met  -  a threshold of 3 cases will be used to release funding. 
An analysis was conducted on a current cohort of patients awaiting placement at a SNF and the budget was developed based upon this cohort and the three-tier rating system. </t>
    </r>
  </si>
  <si>
    <t>Transportation</t>
  </si>
  <si>
    <t>Days</t>
  </si>
  <si>
    <t>Rate</t>
  </si>
  <si>
    <t>Covered Service (Billable to Insurer)</t>
  </si>
  <si>
    <r>
      <t xml:space="preserve">Ambulance 1 - </t>
    </r>
    <r>
      <rPr>
        <b/>
        <sz val="11"/>
        <color theme="1"/>
        <rFont val="Calibri"/>
        <family val="2"/>
        <scheme val="minor"/>
      </rPr>
      <t>American Medical Response (AMR)</t>
    </r>
  </si>
  <si>
    <t>Assumes 50% of transportation expense will be billed by transportation provider and reimbursed to provider by insurance.  Grant funds are requested for the balance. Assumes 2 ambulances for the 4 hospitals to start, adding 2 ambulances in Year 2 as these resources are fully integrated into the workstream.</t>
  </si>
  <si>
    <t>Adjustment for Holidays</t>
  </si>
  <si>
    <r>
      <rPr>
        <sz val="11"/>
        <color theme="1"/>
        <rFont val="Calibri"/>
        <family val="2"/>
        <scheme val="minor"/>
      </rPr>
      <t xml:space="preserve">Ambulance 2 </t>
    </r>
    <r>
      <rPr>
        <b/>
        <sz val="11"/>
        <color theme="1"/>
        <rFont val="Calibri"/>
        <family val="2"/>
        <scheme val="minor"/>
      </rPr>
      <t>- Monroe Ambulance</t>
    </r>
  </si>
  <si>
    <t xml:space="preserve">Year 1 </t>
  </si>
  <si>
    <t>Year 2</t>
  </si>
  <si>
    <t>Year 3</t>
  </si>
  <si>
    <t xml:space="preserve">Year 4 </t>
  </si>
  <si>
    <t xml:space="preserve">Services described in Letters of Commitment from AMR and Monroe Ambulalance.   The total Year 1 cost is $387,450 and split between the two transportation agencies at $193,725 each.  </t>
  </si>
  <si>
    <t>Wellness Associates - Mental Health First Aid Training</t>
  </si>
  <si>
    <t xml:space="preserve">Training </t>
  </si>
  <si>
    <t xml:space="preserve"># </t>
  </si>
  <si>
    <t>Cohort #</t>
  </si>
  <si>
    <t># of Sessions</t>
  </si>
  <si>
    <t>Assumption</t>
  </si>
  <si>
    <t>For Profit SNF Employees</t>
  </si>
  <si>
    <t>Standard rate</t>
  </si>
  <si>
    <r>
      <t>Maximum of</t>
    </r>
    <r>
      <rPr>
        <b/>
        <sz val="11"/>
        <color theme="1"/>
        <rFont val="Calibri"/>
        <family val="2"/>
        <scheme val="minor"/>
      </rPr>
      <t xml:space="preserve"> 30 participants </t>
    </r>
    <r>
      <rPr>
        <sz val="11"/>
        <color theme="1"/>
        <rFont val="Calibri"/>
        <family val="2"/>
        <scheme val="minor"/>
      </rPr>
      <t>allowed per course</t>
    </r>
  </si>
  <si>
    <t>Non-Profit Employees</t>
  </si>
  <si>
    <t>Discounted rate for Non-Profit</t>
  </si>
  <si>
    <t>Total sessions offered</t>
  </si>
  <si>
    <t>Services described in Letter of Commitment from Wellness Associates.  Training will help healthcare workers to better understand behavioral health issues, identify emergencies, know when to make a referral or seek needed behavioral health supports.  An "Older Adult" supplement module will be used for the training.   A total of 18 sessions will be conducted annually targeting all new employees.</t>
  </si>
  <si>
    <t>AVS Consulting Strategies</t>
  </si>
  <si>
    <t>Career Coaching Workshops</t>
  </si>
  <si>
    <t>Payment Amount / Workshop</t>
  </si>
  <si>
    <r>
      <t xml:space="preserve">Conduct </t>
    </r>
    <r>
      <rPr>
        <b/>
        <sz val="11"/>
        <color theme="1"/>
        <rFont val="Calibri"/>
        <family val="2"/>
        <scheme val="minor"/>
      </rPr>
      <t xml:space="preserve">24 </t>
    </r>
    <r>
      <rPr>
        <sz val="11"/>
        <color theme="1"/>
        <rFont val="Calibri"/>
        <family val="2"/>
        <scheme val="minor"/>
      </rPr>
      <t>workshops annually for 30-50 participants in each  workshop</t>
    </r>
  </si>
  <si>
    <t>Year 1 - 4 Total</t>
  </si>
  <si>
    <t>Services described in Letter of Commitment from AVS Consulting Strategies. AVS Consulting Strategies will conduct 24  pre-employment skills workshops annually.   Topics include: Professionalism, Time Management, Interviewing, Resume preparation and other basic pre-employment and employment skills targeted to entry level workers to help learn basic employability skills. Assuming an average of 30 participants per workshop the total over 1 year is 720 individuals and over 4 years is 2,880 individuals.  Individuals may participate in multiple workshops dependent on the topic presented.</t>
  </si>
  <si>
    <t>Refugees Helping Refugees</t>
  </si>
  <si>
    <t>Services</t>
  </si>
  <si>
    <t>Year 1</t>
  </si>
  <si>
    <t>Year 4</t>
  </si>
  <si>
    <t>Years 1-4</t>
  </si>
  <si>
    <t>Staff</t>
  </si>
  <si>
    <t>Senior Multi-Lingual Counselor/Advocate (0.5 FTE)</t>
  </si>
  <si>
    <t>Youth Services Navigator (0.5 FTE)</t>
  </si>
  <si>
    <t>Outreach Worker (0.5 FTE)</t>
  </si>
  <si>
    <t>Fringe Benefits @ 15%</t>
  </si>
  <si>
    <t>Total Staff &amp; Fringe</t>
  </si>
  <si>
    <t>Administrative Costs</t>
  </si>
  <si>
    <t xml:space="preserve">Executive Director </t>
  </si>
  <si>
    <t>ED Fringe</t>
  </si>
  <si>
    <t>Accounting &amp; HR Support</t>
  </si>
  <si>
    <t>Bus passes @ $216/month X 12 months</t>
  </si>
  <si>
    <t>Occupancy</t>
  </si>
  <si>
    <t>50% of $600/month for rent expense</t>
  </si>
  <si>
    <t xml:space="preserve">Total </t>
  </si>
  <si>
    <t xml:space="preserve">Services described in Letter of Commitment from Refugees Helping Refugees (RHR).  RHR programs and services include English classes in partnership with BOCES, civics courses, health education, career training, and comprehensive case management. RHR works with Catholic Charities Family and Community Services, Empire Justice, and LawNY for legal aid and advice. They also provide support related to citizenship and housing issues, and train employees at Empire Justice to be more culturally educated about Refugee communities. RHR plans to use interpreters as needed for students who are enrolled in the ESOL classes and require additional translation services. RHR also plans to have its youth navigator promote the health care field to students.  The projected number of individuals that will be recruited is 100 annually.  </t>
  </si>
  <si>
    <t>Hospital Executive Council</t>
  </si>
  <si>
    <t>Consulting Services</t>
  </si>
  <si>
    <t># Hours</t>
  </si>
  <si>
    <t>$/hr</t>
  </si>
  <si>
    <t xml:space="preserve">Consulting services to assist with the implementation of the Complex Care Program </t>
  </si>
  <si>
    <t xml:space="preserve">Refer to Letter of Commitment from Hospital Executive Council (HEC).  HEC is a collaborative planning organization that successfully  implemented a "Difficult to Place" /  Complex Care Program in partnership with hospitals and SNFs in Syracuse, NY.  The hospitals and SNFs have been working together to improve the efficiency of acute care in their service areas for over a decade.  </t>
  </si>
  <si>
    <t xml:space="preserve">Coordinated Care Services, Inc. </t>
  </si>
  <si>
    <t>Consulting and Training Services</t>
  </si>
  <si>
    <r>
      <t xml:space="preserve">Assessment of current onboarding materials and training through a Diversity, Equity &amp; Inclusion/Trauma Informed Care (DEI/TIC) lens for up to </t>
    </r>
    <r>
      <rPr>
        <b/>
        <sz val="11"/>
        <color theme="1"/>
        <rFont val="Calibri"/>
        <family val="2"/>
        <scheme val="minor"/>
      </rPr>
      <t>five</t>
    </r>
    <r>
      <rPr>
        <sz val="11"/>
        <color theme="1"/>
        <rFont val="Calibri"/>
        <family val="2"/>
        <scheme val="minor"/>
      </rPr>
      <t xml:space="preserve"> Skilled Nursing Facilities and providing written recommendations</t>
    </r>
  </si>
  <si>
    <r>
      <t>Develop and record up to</t>
    </r>
    <r>
      <rPr>
        <b/>
        <sz val="11"/>
        <color theme="1"/>
        <rFont val="Calibri"/>
        <family val="2"/>
        <scheme val="minor"/>
      </rPr>
      <t xml:space="preserve"> six</t>
    </r>
    <r>
      <rPr>
        <sz val="11"/>
        <color theme="1"/>
        <rFont val="Calibri"/>
        <family val="2"/>
        <scheme val="minor"/>
      </rPr>
      <t xml:space="preserve"> "on demand" foundational DEI/TIC  training  modules  (10-15 minutes in duration)</t>
    </r>
  </si>
  <si>
    <r>
      <t xml:space="preserve">Monthly skill-based two-hour workshops to support application of DEI/TIC practices with up to </t>
    </r>
    <r>
      <rPr>
        <b/>
        <sz val="11"/>
        <color theme="1"/>
        <rFont val="Calibri"/>
        <family val="2"/>
        <scheme val="minor"/>
      </rPr>
      <t xml:space="preserve">32 </t>
    </r>
    <r>
      <rPr>
        <sz val="11"/>
        <color theme="1"/>
        <rFont val="Calibri"/>
        <family val="2"/>
        <scheme val="minor"/>
      </rPr>
      <t xml:space="preserve">participants per session or </t>
    </r>
    <r>
      <rPr>
        <b/>
        <sz val="11"/>
        <color theme="1"/>
        <rFont val="Calibri"/>
        <family val="2"/>
        <scheme val="minor"/>
      </rPr>
      <t>384 annually</t>
    </r>
    <r>
      <rPr>
        <sz val="11"/>
        <color theme="1"/>
        <rFont val="Calibri"/>
        <family val="2"/>
        <scheme val="minor"/>
      </rPr>
      <t>.</t>
    </r>
  </si>
  <si>
    <t>Quarterly Leadership sessions to strengthen leaders / supervisor / manager skills to support DEI/TIC practices</t>
  </si>
  <si>
    <t>Services described in Letter of Commitment from Coordinated Care Services, Inc. (CCSI). CCSI provides a broad array of management services and technical assistance specifically tailored to meet the needs of local behavioral health, social and human service departments, state agencies and community-based organizations in Monroe County.</t>
  </si>
  <si>
    <t>Consulting services for additional support in year 2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</si>
</sst>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409]* #,##0_);_([$$-409]* \(#,##0\);_([$$-409]* &quot;-&quot;??_);_(@_)"/>
  </numFmts>
  <fonts count="3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rgb="FF000000"/>
      <name val="Calibri"/>
      <family val="2"/>
    </font>
    <font>
      <b/>
      <sz val="12"/>
      <color theme="1"/>
      <name val="Calibri"/>
      <family val="2"/>
    </font>
    <font>
      <sz val="11"/>
      <color theme="1"/>
      <name val="Calibri"/>
      <family val="2"/>
    </font>
    <font>
      <b/>
      <sz val="10"/>
      <color rgb="FF000000"/>
      <name val="Calibri, Arial"/>
    </font>
    <font>
      <b/>
      <sz val="10"/>
      <color theme="1"/>
      <name val="Calibri"/>
      <family val="2"/>
    </font>
    <font>
      <sz val="10"/>
      <color rgb="FF000000"/>
      <name val="Calibri"/>
      <family val="2"/>
    </font>
    <font>
      <sz val="10"/>
      <color theme="1"/>
      <name val="Calibri"/>
      <family val="2"/>
    </font>
    <font>
      <i/>
      <sz val="10"/>
      <color theme="1"/>
      <name val="Calibri"/>
      <family val="2"/>
    </font>
    <font>
      <b/>
      <sz val="10"/>
      <color rgb="FF000000"/>
      <name val="Calibri"/>
      <family val="2"/>
    </font>
    <font>
      <b/>
      <sz val="11"/>
      <name val="Calibri"/>
      <family val="2"/>
      <scheme val="minor"/>
    </font>
    <font>
      <sz val="11"/>
      <name val="Calibri"/>
      <family val="2"/>
      <scheme val="minor"/>
    </font>
    <font>
      <b/>
      <sz val="12"/>
      <color theme="1"/>
      <name val="Calibri"/>
      <family val="2"/>
      <scheme val="minor"/>
    </font>
    <font>
      <b/>
      <sz val="11"/>
      <color rgb="FF1F497D"/>
      <name val="Calibri"/>
      <family val="2"/>
    </font>
    <font>
      <sz val="11"/>
      <color rgb="FF000000"/>
      <name val="Calibri"/>
      <family val="2"/>
    </font>
    <font>
      <b/>
      <sz val="11"/>
      <color rgb="FF000000"/>
      <name val="Calibri"/>
      <family val="2"/>
    </font>
    <font>
      <sz val="11"/>
      <color rgb="FF1F497D"/>
      <name val="Calibri"/>
      <family val="2"/>
    </font>
    <font>
      <b/>
      <sz val="11"/>
      <color rgb="FFFF0000"/>
      <name val="Calibri"/>
      <family val="2"/>
      <scheme val="minor"/>
    </font>
    <font>
      <b/>
      <sz val="12"/>
      <color rgb="FF000000"/>
      <name val="Calibri"/>
      <family val="2"/>
    </font>
    <font>
      <sz val="11"/>
      <name val="Calibri"/>
      <family val="2"/>
    </font>
    <font>
      <sz val="11"/>
      <color rgb="FFFF0000"/>
      <name val="Calibri"/>
      <family val="2"/>
    </font>
    <font>
      <b/>
      <sz val="11"/>
      <name val="Calibri"/>
      <family val="2"/>
    </font>
    <font>
      <b/>
      <sz val="14"/>
      <color rgb="FF000000"/>
      <name val="Calibri"/>
      <family val="2"/>
    </font>
    <font>
      <b/>
      <sz val="14"/>
      <color theme="1"/>
      <name val="Calibri"/>
      <family val="2"/>
      <scheme val="minor"/>
    </font>
    <font>
      <sz val="11"/>
      <color rgb="FF000000"/>
      <name val="Calibri"/>
      <family val="2"/>
      <scheme val="minor"/>
    </font>
    <font>
      <b/>
      <sz val="10"/>
      <color theme="1"/>
      <name val="Calibri"/>
      <family val="2"/>
      <scheme val="minor"/>
    </font>
    <font>
      <sz val="11"/>
      <color theme="1"/>
      <name val="Arial"/>
      <family val="2"/>
    </font>
    <font>
      <sz val="10"/>
      <color theme="1"/>
      <name val="Calibri"/>
      <family val="2"/>
      <scheme val="minor"/>
    </font>
    <font>
      <b/>
      <i/>
      <sz val="11"/>
      <color theme="1"/>
      <name val="Calibri"/>
      <family val="2"/>
      <scheme val="minor"/>
    </font>
    <font>
      <b/>
      <sz val="11"/>
      <color rgb="FF000000"/>
      <name val="Calibri"/>
      <family val="2"/>
      <scheme val="minor"/>
    </font>
  </fonts>
  <fills count="13">
    <fill>
      <patternFill patternType="none"/>
    </fill>
    <fill>
      <patternFill patternType="gray125"/>
    </fill>
    <fill>
      <patternFill patternType="solid">
        <fgColor theme="4" tint="0.79998168889431442"/>
        <bgColor indexed="65"/>
      </patternFill>
    </fill>
    <fill>
      <patternFill patternType="solid">
        <fgColor theme="6" tint="0.79998168889431442"/>
        <bgColor indexed="64"/>
      </patternFill>
    </fill>
    <fill>
      <patternFill patternType="solid">
        <fgColor theme="1"/>
        <bgColor indexed="64"/>
      </patternFill>
    </fill>
    <fill>
      <patternFill patternType="solid">
        <fgColor rgb="FF000000"/>
        <bgColor rgb="FF000000"/>
      </patternFill>
    </fill>
    <fill>
      <patternFill patternType="solid">
        <fgColor theme="8"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rgb="FFE2EFDA"/>
        <bgColor indexed="64"/>
      </patternFill>
    </fill>
    <fill>
      <patternFill patternType="solid">
        <fgColor rgb="FFFFFFFF"/>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211">
    <xf numFmtId="0" fontId="0" fillId="0" borderId="0" xfId="0"/>
    <xf numFmtId="0" fontId="7" fillId="0" borderId="10" xfId="0" applyFont="1" applyBorder="1" applyAlignment="1">
      <alignment horizontal="center" vertical="center"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10" fillId="3" borderId="12" xfId="0" applyFont="1" applyFill="1" applyBorder="1" applyAlignment="1" applyProtection="1">
      <alignment vertical="center"/>
      <protection locked="0"/>
    </xf>
    <xf numFmtId="0" fontId="11" fillId="0" borderId="12" xfId="0" applyFont="1" applyBorder="1" applyAlignment="1">
      <alignment vertical="center"/>
    </xf>
    <xf numFmtId="0" fontId="8" fillId="4" borderId="12" xfId="0" applyFont="1" applyFill="1" applyBorder="1" applyAlignment="1">
      <alignment vertical="center"/>
    </xf>
    <xf numFmtId="42" fontId="12" fillId="4" borderId="13" xfId="0" applyNumberFormat="1" applyFont="1" applyFill="1" applyBorder="1" applyAlignment="1">
      <alignment horizontal="right" vertical="center"/>
    </xf>
    <xf numFmtId="42" fontId="12" fillId="4" borderId="0" xfId="0" applyNumberFormat="1" applyFont="1" applyFill="1" applyAlignment="1">
      <alignment horizontal="right" vertical="center"/>
    </xf>
    <xf numFmtId="0" fontId="6" fillId="5" borderId="12" xfId="0" applyFont="1" applyFill="1" applyBorder="1" applyAlignment="1">
      <alignment vertical="center"/>
    </xf>
    <xf numFmtId="164" fontId="9" fillId="3" borderId="13" xfId="0" applyNumberFormat="1" applyFont="1" applyFill="1" applyBorder="1" applyAlignment="1" applyProtection="1">
      <alignment horizontal="right" vertical="center"/>
      <protection locked="0"/>
    </xf>
    <xf numFmtId="164" fontId="12" fillId="0" borderId="13" xfId="0" applyNumberFormat="1" applyFont="1" applyBorder="1" applyAlignment="1">
      <alignment horizontal="right" vertical="center"/>
    </xf>
    <xf numFmtId="164" fontId="12" fillId="0" borderId="11" xfId="0" applyNumberFormat="1" applyFont="1" applyBorder="1" applyAlignment="1">
      <alignment horizontal="right" vertical="center"/>
    </xf>
    <xf numFmtId="0" fontId="15" fillId="0" borderId="0" xfId="0" applyFont="1" applyAlignment="1">
      <alignment horizontal="center" vertical="center"/>
    </xf>
    <xf numFmtId="0" fontId="0" fillId="0" borderId="11" xfId="0" applyBorder="1"/>
    <xf numFmtId="0" fontId="0" fillId="0" borderId="11" xfId="0" applyBorder="1" applyAlignment="1">
      <alignment horizontal="center" vertical="center"/>
    </xf>
    <xf numFmtId="165" fontId="0" fillId="0" borderId="11" xfId="0" applyNumberFormat="1" applyBorder="1" applyAlignment="1">
      <alignment vertical="center"/>
    </xf>
    <xf numFmtId="166" fontId="0" fillId="0" borderId="11" xfId="0" applyNumberFormat="1" applyBorder="1" applyAlignment="1">
      <alignment vertical="center"/>
    </xf>
    <xf numFmtId="3" fontId="3" fillId="0" borderId="11" xfId="0" applyNumberFormat="1" applyFont="1" applyBorder="1" applyAlignment="1">
      <alignment horizontal="center" vertical="center"/>
    </xf>
    <xf numFmtId="165" fontId="3" fillId="0" borderId="11" xfId="1" applyNumberFormat="1" applyFont="1" applyBorder="1" applyAlignment="1">
      <alignment vertical="center"/>
    </xf>
    <xf numFmtId="0" fontId="0" fillId="0" borderId="11" xfId="0" applyBorder="1" applyAlignment="1">
      <alignment vertical="center"/>
    </xf>
    <xf numFmtId="166" fontId="3" fillId="0" borderId="11" xfId="0" applyNumberFormat="1" applyFont="1" applyBorder="1" applyAlignment="1">
      <alignment vertical="center"/>
    </xf>
    <xf numFmtId="0" fontId="16" fillId="0" borderId="11" xfId="0" applyFont="1" applyBorder="1" applyAlignment="1">
      <alignment horizontal="center" vertical="center" wrapText="1"/>
    </xf>
    <xf numFmtId="0" fontId="17" fillId="0" borderId="11" xfId="0" applyFont="1" applyBorder="1" applyAlignment="1">
      <alignment vertical="center" wrapText="1"/>
    </xf>
    <xf numFmtId="0" fontId="17" fillId="0" borderId="0" xfId="0" applyFont="1" applyAlignment="1">
      <alignment vertical="center"/>
    </xf>
    <xf numFmtId="0" fontId="17" fillId="0" borderId="11" xfId="0" applyFont="1" applyBorder="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6" fillId="0" borderId="0" xfId="0" applyFont="1"/>
    <xf numFmtId="0" fontId="6" fillId="0" borderId="11" xfId="0" applyFont="1" applyBorder="1"/>
    <xf numFmtId="0" fontId="6" fillId="0" borderId="11" xfId="0" applyFont="1" applyBorder="1" applyAlignment="1">
      <alignment horizontal="center" vertical="center"/>
    </xf>
    <xf numFmtId="165" fontId="6" fillId="0" borderId="11" xfId="0" applyNumberFormat="1" applyFont="1" applyBorder="1" applyAlignment="1">
      <alignment vertical="center"/>
    </xf>
    <xf numFmtId="166" fontId="6" fillId="0" borderId="11" xfId="0" applyNumberFormat="1" applyFont="1" applyBorder="1" applyAlignment="1">
      <alignment vertical="center"/>
    </xf>
    <xf numFmtId="166" fontId="22" fillId="0" borderId="11" xfId="0" applyNumberFormat="1" applyFont="1" applyBorder="1" applyAlignment="1">
      <alignment vertical="center"/>
    </xf>
    <xf numFmtId="0" fontId="23" fillId="0" borderId="0" xfId="0" applyFont="1"/>
    <xf numFmtId="3" fontId="18" fillId="0" borderId="11" xfId="0" applyNumberFormat="1" applyFont="1" applyBorder="1" applyAlignment="1">
      <alignment horizontal="center" vertical="center"/>
    </xf>
    <xf numFmtId="165" fontId="18" fillId="0" borderId="11" xfId="1" applyNumberFormat="1" applyFont="1" applyFill="1" applyBorder="1" applyAlignment="1">
      <alignment vertical="center"/>
    </xf>
    <xf numFmtId="0" fontId="6" fillId="0" borderId="11" xfId="0" applyFont="1" applyBorder="1" applyAlignment="1">
      <alignment vertical="center"/>
    </xf>
    <xf numFmtId="166" fontId="18" fillId="0" borderId="11" xfId="0" applyNumberFormat="1" applyFont="1" applyBorder="1" applyAlignment="1">
      <alignment vertical="center"/>
    </xf>
    <xf numFmtId="0" fontId="18" fillId="0" borderId="11" xfId="0" applyFont="1" applyBorder="1"/>
    <xf numFmtId="164" fontId="17" fillId="0" borderId="11" xfId="2" applyNumberFormat="1" applyFont="1" applyFill="1" applyBorder="1" applyAlignment="1">
      <alignment horizontal="right" vertical="center"/>
    </xf>
    <xf numFmtId="164" fontId="17" fillId="0" borderId="18" xfId="2" applyNumberFormat="1" applyFont="1" applyFill="1" applyBorder="1" applyAlignment="1">
      <alignment horizontal="right" vertical="center"/>
    </xf>
    <xf numFmtId="164" fontId="18" fillId="0" borderId="19" xfId="2" applyNumberFormat="1" applyFont="1" applyFill="1" applyBorder="1" applyAlignment="1">
      <alignment horizontal="right" vertical="center"/>
    </xf>
    <xf numFmtId="166" fontId="24" fillId="0" borderId="11" xfId="0" applyNumberFormat="1" applyFont="1" applyBorder="1" applyAlignment="1">
      <alignment vertical="center"/>
    </xf>
    <xf numFmtId="0" fontId="0" fillId="0" borderId="11" xfId="0" applyBorder="1" applyAlignment="1">
      <alignment horizontal="center" vertical="center" wrapText="1"/>
    </xf>
    <xf numFmtId="9" fontId="3" fillId="0" borderId="11" xfId="3" applyFont="1" applyBorder="1" applyAlignment="1">
      <alignment vertical="center"/>
    </xf>
    <xf numFmtId="166" fontId="2" fillId="0" borderId="11" xfId="0" applyNumberFormat="1" applyFont="1" applyBorder="1" applyAlignment="1">
      <alignment vertical="center"/>
    </xf>
    <xf numFmtId="165" fontId="2" fillId="0" borderId="11" xfId="0" applyNumberFormat="1" applyFont="1" applyBorder="1" applyAlignment="1">
      <alignment vertical="center"/>
    </xf>
    <xf numFmtId="0" fontId="20" fillId="0" borderId="11" xfId="0" applyFont="1" applyBorder="1" applyAlignment="1">
      <alignment horizontal="center" vertical="center" wrapText="1"/>
    </xf>
    <xf numFmtId="0" fontId="0" fillId="0" borderId="11" xfId="0" applyBorder="1" applyAlignment="1">
      <alignment vertical="center" wrapText="1"/>
    </xf>
    <xf numFmtId="3" fontId="3" fillId="0" borderId="0" xfId="0" applyNumberFormat="1" applyFont="1"/>
    <xf numFmtId="3" fontId="9" fillId="3" borderId="13" xfId="0" applyNumberFormat="1" applyFont="1" applyFill="1" applyBorder="1" applyAlignment="1" applyProtection="1">
      <alignment horizontal="right" vertical="center"/>
      <protection locked="0"/>
    </xf>
    <xf numFmtId="3" fontId="9" fillId="3" borderId="11" xfId="0" applyNumberFormat="1" applyFont="1" applyFill="1" applyBorder="1" applyAlignment="1" applyProtection="1">
      <alignment horizontal="right" vertical="center"/>
      <protection locked="0"/>
    </xf>
    <xf numFmtId="3" fontId="12" fillId="0" borderId="13" xfId="0" applyNumberFormat="1" applyFont="1" applyBorder="1" applyAlignment="1">
      <alignment horizontal="right" vertical="center"/>
    </xf>
    <xf numFmtId="3" fontId="12" fillId="0" borderId="11" xfId="0" applyNumberFormat="1" applyFont="1" applyBorder="1" applyAlignment="1">
      <alignment horizontal="right" vertical="center"/>
    </xf>
    <xf numFmtId="0" fontId="10" fillId="3" borderId="12" xfId="0" applyFont="1" applyFill="1" applyBorder="1" applyAlignment="1" applyProtection="1">
      <alignment vertical="center" wrapText="1"/>
      <protection locked="0"/>
    </xf>
    <xf numFmtId="0" fontId="10" fillId="7" borderId="12" xfId="0" applyFont="1" applyFill="1" applyBorder="1" applyAlignment="1" applyProtection="1">
      <alignment vertical="center"/>
      <protection locked="0"/>
    </xf>
    <xf numFmtId="164" fontId="9" fillId="7" borderId="13" xfId="0" applyNumberFormat="1" applyFont="1" applyFill="1" applyBorder="1" applyAlignment="1" applyProtection="1">
      <alignment horizontal="right" vertical="center"/>
      <protection locked="0"/>
    </xf>
    <xf numFmtId="0" fontId="10" fillId="7" borderId="12" xfId="0" applyFont="1" applyFill="1" applyBorder="1" applyAlignment="1" applyProtection="1">
      <alignment vertical="center" wrapText="1"/>
      <protection locked="0"/>
    </xf>
    <xf numFmtId="3" fontId="10" fillId="3" borderId="13" xfId="0" applyNumberFormat="1" applyFont="1" applyFill="1" applyBorder="1" applyAlignment="1" applyProtection="1">
      <alignment vertical="center"/>
      <protection locked="0"/>
    </xf>
    <xf numFmtId="3" fontId="10" fillId="3" borderId="11" xfId="0" applyNumberFormat="1" applyFont="1" applyFill="1" applyBorder="1" applyAlignment="1" applyProtection="1">
      <alignment vertical="center"/>
      <protection locked="0"/>
    </xf>
    <xf numFmtId="164" fontId="10" fillId="5" borderId="13" xfId="0" applyNumberFormat="1" applyFont="1" applyFill="1" applyBorder="1" applyAlignment="1">
      <alignment vertical="center"/>
    </xf>
    <xf numFmtId="164" fontId="10" fillId="5" borderId="14" xfId="0" applyNumberFormat="1" applyFont="1" applyFill="1" applyBorder="1" applyAlignment="1">
      <alignment vertical="center"/>
    </xf>
    <xf numFmtId="164" fontId="10" fillId="3" borderId="13" xfId="0" applyNumberFormat="1" applyFont="1" applyFill="1" applyBorder="1" applyAlignment="1" applyProtection="1">
      <alignment vertical="center"/>
      <protection locked="0"/>
    </xf>
    <xf numFmtId="0" fontId="6" fillId="0" borderId="11" xfId="0" applyFont="1" applyBorder="1" applyAlignment="1">
      <alignment vertical="center" wrapText="1"/>
    </xf>
    <xf numFmtId="0" fontId="6" fillId="0" borderId="17" xfId="0" applyFont="1" applyBorder="1" applyAlignment="1">
      <alignment vertical="center" wrapText="1"/>
    </xf>
    <xf numFmtId="0" fontId="23" fillId="0" borderId="11" xfId="0" applyFont="1" applyBorder="1" applyAlignment="1">
      <alignment vertical="center"/>
    </xf>
    <xf numFmtId="0" fontId="6" fillId="0" borderId="0" xfId="0" applyFont="1" applyAlignment="1">
      <alignment vertical="center" wrapText="1"/>
    </xf>
    <xf numFmtId="164" fontId="0" fillId="0" borderId="0" xfId="2" applyNumberFormat="1" applyFont="1"/>
    <xf numFmtId="164" fontId="3" fillId="0" borderId="0" xfId="2" applyNumberFormat="1" applyFont="1" applyFill="1" applyBorder="1" applyAlignment="1">
      <alignment horizontal="center" vertical="center"/>
    </xf>
    <xf numFmtId="164" fontId="13" fillId="6" borderId="0" xfId="2" applyNumberFormat="1" applyFont="1" applyFill="1" applyBorder="1" applyAlignment="1">
      <alignment horizontal="center" vertical="center"/>
    </xf>
    <xf numFmtId="0" fontId="3" fillId="0" borderId="6" xfId="0" applyFont="1" applyBorder="1" applyAlignment="1">
      <alignment horizontal="center" vertical="center"/>
    </xf>
    <xf numFmtId="0" fontId="0" fillId="0" borderId="23" xfId="0" applyBorder="1"/>
    <xf numFmtId="0" fontId="0" fillId="0" borderId="4" xfId="0" applyBorder="1"/>
    <xf numFmtId="164" fontId="0" fillId="0" borderId="0" xfId="2" applyNumberFormat="1" applyFont="1" applyBorder="1"/>
    <xf numFmtId="164" fontId="3" fillId="6" borderId="23" xfId="2" applyNumberFormat="1" applyFont="1" applyFill="1" applyBorder="1" applyAlignment="1">
      <alignment horizontal="center"/>
    </xf>
    <xf numFmtId="0" fontId="0" fillId="0" borderId="21" xfId="0" applyBorder="1"/>
    <xf numFmtId="164" fontId="14" fillId="6" borderId="0" xfId="2" applyNumberFormat="1" applyFont="1" applyFill="1" applyBorder="1"/>
    <xf numFmtId="164" fontId="0" fillId="6" borderId="23" xfId="2" applyNumberFormat="1" applyFont="1" applyFill="1" applyBorder="1"/>
    <xf numFmtId="0" fontId="1" fillId="6" borderId="21" xfId="4" applyFill="1" applyBorder="1"/>
    <xf numFmtId="164" fontId="2" fillId="0" borderId="0" xfId="2" applyNumberFormat="1" applyFont="1" applyBorder="1"/>
    <xf numFmtId="164" fontId="2" fillId="6" borderId="0" xfId="2" applyNumberFormat="1" applyFont="1" applyFill="1" applyBorder="1"/>
    <xf numFmtId="164" fontId="2" fillId="6" borderId="23" xfId="2" applyNumberFormat="1" applyFont="1" applyFill="1" applyBorder="1"/>
    <xf numFmtId="0" fontId="2" fillId="0" borderId="21" xfId="0" applyFont="1" applyBorder="1"/>
    <xf numFmtId="0" fontId="27" fillId="6" borderId="11" xfId="0" applyFont="1" applyFill="1" applyBorder="1" applyAlignment="1">
      <alignment vertical="center" wrapText="1"/>
    </xf>
    <xf numFmtId="0" fontId="3" fillId="6" borderId="10" xfId="1" applyNumberFormat="1" applyFont="1" applyFill="1" applyBorder="1" applyAlignment="1">
      <alignment horizontal="center" vertical="center"/>
    </xf>
    <xf numFmtId="0" fontId="3" fillId="6" borderId="15" xfId="1" applyNumberFormat="1" applyFont="1" applyFill="1" applyBorder="1" applyAlignment="1">
      <alignment horizontal="center" vertical="center"/>
    </xf>
    <xf numFmtId="0" fontId="3" fillId="6" borderId="16" xfId="1" applyNumberFormat="1" applyFont="1" applyFill="1" applyBorder="1" applyAlignment="1">
      <alignment horizontal="center" vertical="center"/>
    </xf>
    <xf numFmtId="164" fontId="9" fillId="8" borderId="13" xfId="0" applyNumberFormat="1" applyFont="1" applyFill="1" applyBorder="1" applyAlignment="1" applyProtection="1">
      <alignment horizontal="right" vertical="center"/>
      <protection locked="0"/>
    </xf>
    <xf numFmtId="0" fontId="10" fillId="3" borderId="12" xfId="0" applyFont="1" applyFill="1" applyBorder="1" applyAlignment="1" applyProtection="1">
      <alignment horizontal="left" vertical="center" wrapText="1"/>
      <protection locked="0"/>
    </xf>
    <xf numFmtId="44" fontId="0" fillId="0" borderId="0" xfId="0" applyNumberFormat="1"/>
    <xf numFmtId="166" fontId="3" fillId="7" borderId="11" xfId="0" applyNumberFormat="1" applyFont="1" applyFill="1" applyBorder="1" applyAlignment="1">
      <alignment vertical="center"/>
    </xf>
    <xf numFmtId="3" fontId="0" fillId="0" borderId="11" xfId="0" applyNumberFormat="1" applyBorder="1" applyAlignment="1">
      <alignment horizontal="center" vertical="center"/>
    </xf>
    <xf numFmtId="164" fontId="14" fillId="0" borderId="0" xfId="2" applyNumberFormat="1" applyFont="1" applyBorder="1"/>
    <xf numFmtId="164" fontId="14" fillId="0" borderId="23" xfId="0" applyNumberFormat="1" applyFont="1" applyBorder="1"/>
    <xf numFmtId="164" fontId="14" fillId="0" borderId="0" xfId="0" applyNumberFormat="1" applyFont="1"/>
    <xf numFmtId="164" fontId="13" fillId="6" borderId="0" xfId="0" applyNumberFormat="1" applyFont="1" applyFill="1"/>
    <xf numFmtId="164" fontId="13" fillId="6" borderId="23" xfId="0" applyNumberFormat="1" applyFont="1" applyFill="1" applyBorder="1"/>
    <xf numFmtId="0" fontId="29" fillId="0" borderId="0" xfId="0" applyFont="1"/>
    <xf numFmtId="0" fontId="13" fillId="6" borderId="0" xfId="0" applyFont="1" applyFill="1" applyAlignment="1">
      <alignment horizontal="center" vertical="center"/>
    </xf>
    <xf numFmtId="0" fontId="13" fillId="6" borderId="23" xfId="0" applyFont="1" applyFill="1" applyBorder="1" applyAlignment="1">
      <alignment horizontal="center" vertical="center"/>
    </xf>
    <xf numFmtId="0" fontId="3" fillId="6" borderId="21" xfId="0" applyFont="1" applyFill="1" applyBorder="1" applyAlignment="1">
      <alignment vertical="center"/>
    </xf>
    <xf numFmtId="0" fontId="0" fillId="0" borderId="21" xfId="0" applyBorder="1" applyAlignment="1">
      <alignment vertical="center"/>
    </xf>
    <xf numFmtId="0" fontId="11" fillId="10" borderId="12" xfId="0" applyFont="1" applyFill="1" applyBorder="1" applyAlignment="1">
      <alignment horizontal="left" vertical="center" wrapText="1"/>
    </xf>
    <xf numFmtId="3" fontId="10" fillId="10" borderId="13" xfId="0" applyNumberFormat="1" applyFont="1" applyFill="1" applyBorder="1" applyAlignment="1" applyProtection="1">
      <alignment vertical="center"/>
      <protection locked="0"/>
    </xf>
    <xf numFmtId="0" fontId="0" fillId="10" borderId="0" xfId="0" applyFill="1"/>
    <xf numFmtId="0" fontId="0" fillId="0" borderId="11" xfId="0" applyBorder="1" applyAlignment="1">
      <alignment horizontal="left" vertical="center" wrapText="1"/>
    </xf>
    <xf numFmtId="0" fontId="2" fillId="0" borderId="11" xfId="0" applyFont="1" applyBorder="1" applyAlignment="1">
      <alignment horizontal="left" vertical="center"/>
    </xf>
    <xf numFmtId="0" fontId="3" fillId="0" borderId="11" xfId="0" applyFont="1" applyBorder="1" applyAlignment="1">
      <alignment horizontal="left" vertical="center"/>
    </xf>
    <xf numFmtId="0" fontId="13" fillId="6" borderId="5" xfId="0" applyFont="1" applyFill="1" applyBorder="1" applyAlignment="1">
      <alignment horizontal="center" vertical="center"/>
    </xf>
    <xf numFmtId="0" fontId="13" fillId="6" borderId="6" xfId="0" applyFont="1" applyFill="1" applyBorder="1" applyAlignment="1">
      <alignment horizontal="center" vertical="center"/>
    </xf>
    <xf numFmtId="0" fontId="0" fillId="0" borderId="21" xfId="0" applyBorder="1" applyAlignment="1">
      <alignment vertical="center" wrapText="1"/>
    </xf>
    <xf numFmtId="42" fontId="0" fillId="0" borderId="0" xfId="1" applyNumberFormat="1" applyFont="1" applyBorder="1" applyAlignment="1">
      <alignment horizontal="left" vertical="center"/>
    </xf>
    <xf numFmtId="42" fontId="0" fillId="0" borderId="23" xfId="1" applyNumberFormat="1" applyFont="1" applyBorder="1" applyAlignment="1">
      <alignment horizontal="left" vertical="center"/>
    </xf>
    <xf numFmtId="0" fontId="3" fillId="11" borderId="21" xfId="0" applyFont="1" applyFill="1" applyBorder="1"/>
    <xf numFmtId="164" fontId="13" fillId="11" borderId="0" xfId="0" applyNumberFormat="1" applyFont="1" applyFill="1"/>
    <xf numFmtId="164" fontId="13" fillId="11" borderId="23" xfId="0" applyNumberFormat="1" applyFont="1" applyFill="1" applyBorder="1"/>
    <xf numFmtId="164" fontId="14" fillId="6" borderId="0" xfId="0" applyNumberFormat="1" applyFont="1" applyFill="1"/>
    <xf numFmtId="164" fontId="14" fillId="6" borderId="23" xfId="0" applyNumberFormat="1" applyFont="1" applyFill="1" applyBorder="1"/>
    <xf numFmtId="164" fontId="0" fillId="0" borderId="0" xfId="0" applyNumberFormat="1"/>
    <xf numFmtId="164" fontId="14" fillId="6" borderId="8" xfId="0" applyNumberFormat="1" applyFont="1" applyFill="1" applyBorder="1"/>
    <xf numFmtId="164" fontId="14" fillId="6" borderId="9" xfId="0" applyNumberFormat="1" applyFont="1" applyFill="1" applyBorder="1"/>
    <xf numFmtId="164" fontId="14" fillId="0" borderId="8" xfId="2" applyNumberFormat="1" applyFont="1" applyBorder="1"/>
    <xf numFmtId="164" fontId="14" fillId="0" borderId="9" xfId="0" applyNumberFormat="1" applyFont="1" applyBorder="1"/>
    <xf numFmtId="0" fontId="3" fillId="9" borderId="7" xfId="0" applyFont="1" applyFill="1" applyBorder="1" applyAlignment="1">
      <alignment vertical="center"/>
    </xf>
    <xf numFmtId="42" fontId="3" fillId="9" borderId="8" xfId="1" applyNumberFormat="1" applyFont="1" applyFill="1" applyBorder="1" applyAlignment="1">
      <alignment horizontal="left" vertical="center"/>
    </xf>
    <xf numFmtId="42" fontId="3" fillId="9" borderId="9" xfId="1" applyNumberFormat="1" applyFont="1" applyFill="1" applyBorder="1" applyAlignment="1">
      <alignment horizontal="left" vertical="center"/>
    </xf>
    <xf numFmtId="0" fontId="3" fillId="6" borderId="11" xfId="0" applyFont="1" applyFill="1" applyBorder="1" applyAlignment="1">
      <alignment horizontal="center" vertical="center" wrapText="1"/>
    </xf>
    <xf numFmtId="0" fontId="3" fillId="6" borderId="11" xfId="0" applyFont="1" applyFill="1" applyBorder="1" applyAlignment="1">
      <alignment horizontal="center" vertical="center"/>
    </xf>
    <xf numFmtId="0" fontId="0" fillId="0" borderId="11" xfId="0" applyBorder="1" applyAlignment="1">
      <alignment horizontal="center"/>
    </xf>
    <xf numFmtId="0" fontId="3" fillId="6" borderId="21" xfId="0" applyFont="1" applyFill="1" applyBorder="1" applyAlignment="1">
      <alignment horizontal="center" vertical="center"/>
    </xf>
    <xf numFmtId="0" fontId="3" fillId="6" borderId="4" xfId="0" applyFont="1" applyFill="1" applyBorder="1" applyAlignment="1">
      <alignment horizontal="center" vertical="center"/>
    </xf>
    <xf numFmtId="0" fontId="0" fillId="6" borderId="11" xfId="0" applyFill="1" applyBorder="1"/>
    <xf numFmtId="1" fontId="0" fillId="0" borderId="11" xfId="0" applyNumberFormat="1" applyBorder="1" applyAlignment="1">
      <alignment horizontal="center" vertical="center"/>
    </xf>
    <xf numFmtId="3" fontId="3" fillId="9" borderId="11" xfId="0" applyNumberFormat="1" applyFont="1" applyFill="1" applyBorder="1" applyAlignment="1">
      <alignment horizontal="center" vertical="center"/>
    </xf>
    <xf numFmtId="165" fontId="3" fillId="9" borderId="11" xfId="1" applyNumberFormat="1" applyFont="1" applyFill="1" applyBorder="1" applyAlignment="1">
      <alignment vertical="center"/>
    </xf>
    <xf numFmtId="0" fontId="0" fillId="9" borderId="11" xfId="0" applyFill="1" applyBorder="1" applyAlignment="1">
      <alignment vertical="center"/>
    </xf>
    <xf numFmtId="166" fontId="3" fillId="9" borderId="11" xfId="0" applyNumberFormat="1" applyFont="1" applyFill="1" applyBorder="1" applyAlignment="1">
      <alignment vertical="center"/>
    </xf>
    <xf numFmtId="0" fontId="3" fillId="9" borderId="11" xfId="0" applyFont="1" applyFill="1" applyBorder="1" applyAlignment="1">
      <alignment horizontal="center" vertical="center"/>
    </xf>
    <xf numFmtId="165" fontId="3" fillId="9" borderId="11" xfId="0" applyNumberFormat="1" applyFont="1" applyFill="1" applyBorder="1" applyAlignment="1">
      <alignment vertical="center"/>
    </xf>
    <xf numFmtId="0" fontId="0" fillId="9" borderId="11" xfId="0" applyFill="1" applyBorder="1"/>
    <xf numFmtId="0" fontId="0" fillId="9" borderId="11" xfId="0" applyFill="1" applyBorder="1" applyAlignment="1">
      <alignment vertical="center" wrapText="1"/>
    </xf>
    <xf numFmtId="1" fontId="0" fillId="9" borderId="11" xfId="0" applyNumberFormat="1" applyFill="1" applyBorder="1" applyAlignment="1">
      <alignment horizontal="center" vertical="center"/>
    </xf>
    <xf numFmtId="1" fontId="3" fillId="9" borderId="11" xfId="0" applyNumberFormat="1" applyFont="1" applyFill="1" applyBorder="1" applyAlignment="1">
      <alignment horizontal="center" vertical="center"/>
    </xf>
    <xf numFmtId="0" fontId="32" fillId="9" borderId="11" xfId="0" applyFont="1" applyFill="1" applyBorder="1" applyAlignment="1">
      <alignment horizontal="center" vertical="center" wrapText="1"/>
    </xf>
    <xf numFmtId="3" fontId="18" fillId="9" borderId="11" xfId="0" applyNumberFormat="1" applyFont="1" applyFill="1" applyBorder="1" applyAlignment="1">
      <alignment horizontal="center" vertical="center"/>
    </xf>
    <xf numFmtId="165" fontId="18" fillId="9" borderId="11" xfId="1" applyNumberFormat="1" applyFont="1" applyFill="1" applyBorder="1" applyAlignment="1">
      <alignment vertical="center"/>
    </xf>
    <xf numFmtId="0" fontId="6" fillId="9" borderId="11" xfId="0" applyFont="1" applyFill="1" applyBorder="1" applyAlignment="1">
      <alignment vertical="center"/>
    </xf>
    <xf numFmtId="166" fontId="18" fillId="9" borderId="11" xfId="0" applyNumberFormat="1" applyFont="1" applyFill="1" applyBorder="1" applyAlignment="1">
      <alignment vertical="center"/>
    </xf>
    <xf numFmtId="0" fontId="18" fillId="9" borderId="11" xfId="0" applyFont="1" applyFill="1" applyBorder="1" applyAlignment="1">
      <alignment horizontal="center" vertical="center"/>
    </xf>
    <xf numFmtId="165" fontId="18" fillId="9" borderId="11" xfId="0" applyNumberFormat="1" applyFont="1" applyFill="1" applyBorder="1" applyAlignment="1">
      <alignment vertical="center"/>
    </xf>
    <xf numFmtId="165" fontId="1" fillId="10" borderId="11" xfId="1" applyNumberFormat="1" applyFont="1" applyFill="1" applyBorder="1" applyAlignment="1">
      <alignment vertical="center"/>
    </xf>
    <xf numFmtId="0" fontId="18" fillId="6" borderId="11" xfId="0" applyFont="1" applyFill="1" applyBorder="1" applyAlignment="1">
      <alignment horizontal="center" vertical="center"/>
    </xf>
    <xf numFmtId="0" fontId="18" fillId="6" borderId="11" xfId="0" applyFont="1" applyFill="1" applyBorder="1" applyAlignment="1">
      <alignment horizontal="center" vertical="center" wrapText="1"/>
    </xf>
    <xf numFmtId="0" fontId="6" fillId="6" borderId="11" xfId="0" applyFont="1" applyFill="1" applyBorder="1"/>
    <xf numFmtId="164" fontId="2" fillId="9" borderId="0" xfId="2" applyNumberFormat="1" applyFont="1" applyFill="1" applyBorder="1"/>
    <xf numFmtId="0" fontId="3" fillId="9" borderId="21" xfId="0" applyFont="1" applyFill="1" applyBorder="1"/>
    <xf numFmtId="0" fontId="3" fillId="0" borderId="16" xfId="0" applyFont="1" applyBorder="1" applyAlignment="1">
      <alignment horizontal="center"/>
    </xf>
    <xf numFmtId="164" fontId="3" fillId="9" borderId="0" xfId="2" applyNumberFormat="1" applyFont="1" applyFill="1" applyBorder="1"/>
    <xf numFmtId="164" fontId="3" fillId="9" borderId="23" xfId="2" applyNumberFormat="1" applyFont="1" applyFill="1" applyBorder="1"/>
    <xf numFmtId="3" fontId="0" fillId="10" borderId="11" xfId="0" applyNumberFormat="1" applyFill="1" applyBorder="1" applyAlignment="1">
      <alignment horizontal="left" vertical="center" wrapText="1"/>
    </xf>
    <xf numFmtId="0" fontId="0" fillId="0" borderId="23" xfId="0" applyBorder="1" applyAlignment="1">
      <alignment horizontal="center"/>
    </xf>
    <xf numFmtId="0" fontId="11" fillId="12" borderId="12" xfId="0" applyFont="1" applyFill="1" applyBorder="1" applyAlignment="1">
      <alignment vertical="center"/>
    </xf>
    <xf numFmtId="164" fontId="12" fillId="12" borderId="12" xfId="0" applyNumberFormat="1" applyFont="1" applyFill="1" applyBorder="1" applyAlignment="1">
      <alignment horizontal="right" vertical="center"/>
    </xf>
    <xf numFmtId="0" fontId="30" fillId="12" borderId="12" xfId="0" applyFont="1" applyFill="1" applyBorder="1"/>
    <xf numFmtId="3" fontId="28" fillId="12" borderId="12" xfId="0" applyNumberFormat="1" applyFont="1" applyFill="1" applyBorder="1"/>
    <xf numFmtId="0" fontId="6" fillId="5" borderId="24" xfId="0" applyFont="1" applyFill="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164" fontId="3" fillId="6" borderId="10" xfId="2" applyNumberFormat="1" applyFont="1" applyFill="1" applyBorder="1" applyAlignment="1">
      <alignment horizontal="center"/>
    </xf>
    <xf numFmtId="164" fontId="3" fillId="6" borderId="16" xfId="2" applyNumberFormat="1" applyFont="1" applyFill="1" applyBorder="1" applyAlignment="1">
      <alignment horizontal="center"/>
    </xf>
    <xf numFmtId="0" fontId="26" fillId="0" borderId="10"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3" fillId="0" borderId="11" xfId="0" applyFont="1" applyBorder="1" applyAlignment="1">
      <alignment horizontal="center" vertical="center" wrapText="1"/>
    </xf>
    <xf numFmtId="0" fontId="25" fillId="0" borderId="10"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6" fillId="0" borderId="22"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0" applyFont="1" applyBorder="1" applyAlignment="1">
      <alignment horizontal="left" vertical="center" wrapText="1"/>
    </xf>
    <xf numFmtId="0" fontId="3" fillId="10" borderId="10" xfId="0" applyFont="1" applyFill="1" applyBorder="1" applyAlignment="1">
      <alignment horizontal="left" wrapText="1"/>
    </xf>
    <xf numFmtId="0" fontId="3" fillId="10" borderId="15" xfId="0" applyFont="1" applyFill="1" applyBorder="1" applyAlignment="1">
      <alignment horizontal="left" wrapText="1"/>
    </xf>
    <xf numFmtId="0" fontId="3" fillId="10" borderId="16" xfId="0" applyFont="1" applyFill="1" applyBorder="1" applyAlignment="1">
      <alignment horizontal="left" wrapText="1"/>
    </xf>
    <xf numFmtId="0" fontId="0" fillId="0" borderId="22"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26" fillId="0" borderId="1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1" xfId="0"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cellXfs>
  <cellStyles count="5">
    <cellStyle name="20% - Accent1" xfId="4" builtinId="30"/>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B1C3-B109-4582-AF41-A37CFC63B643}">
  <dimension ref="B1:E39"/>
  <sheetViews>
    <sheetView tabSelected="1" workbookViewId="0">
      <selection activeCell="B42" sqref="B42"/>
    </sheetView>
  </sheetViews>
  <sheetFormatPr defaultRowHeight="14.4"/>
  <cols>
    <col min="1" max="1" width="6.109375" customWidth="1"/>
    <col min="2" max="2" width="63.44140625" customWidth="1"/>
    <col min="3" max="3" width="18.109375" customWidth="1"/>
    <col min="4" max="4" width="18.6640625" customWidth="1"/>
    <col min="6" max="6" width="40.5546875" customWidth="1"/>
  </cols>
  <sheetData>
    <row r="1" spans="2:4" ht="23.4">
      <c r="B1" s="167" t="s">
        <v>0</v>
      </c>
      <c r="C1" s="168"/>
      <c r="D1" s="169"/>
    </row>
    <row r="2" spans="2:4" ht="15.6">
      <c r="B2" s="170" t="s">
        <v>1</v>
      </c>
      <c r="C2" s="171"/>
      <c r="D2" s="172"/>
    </row>
    <row r="3" spans="2:4">
      <c r="B3" s="173"/>
      <c r="C3" s="174"/>
      <c r="D3" s="175"/>
    </row>
    <row r="4" spans="2:4" ht="52.8">
      <c r="B4" s="1" t="s">
        <v>2</v>
      </c>
      <c r="C4" s="2" t="s">
        <v>3</v>
      </c>
      <c r="D4" s="3" t="s">
        <v>4</v>
      </c>
    </row>
    <row r="5" spans="2:4">
      <c r="B5" s="4" t="s">
        <v>5</v>
      </c>
      <c r="C5" s="51">
        <v>30000</v>
      </c>
      <c r="D5" s="52">
        <f>C5*4</f>
        <v>120000</v>
      </c>
    </row>
    <row r="6" spans="2:4">
      <c r="B6" s="4" t="s">
        <v>6</v>
      </c>
      <c r="C6" s="51">
        <v>90000</v>
      </c>
      <c r="D6" s="52">
        <f>C6*4</f>
        <v>360000</v>
      </c>
    </row>
    <row r="7" spans="2:4">
      <c r="B7" s="4" t="s">
        <v>7</v>
      </c>
      <c r="C7" s="51">
        <v>70000</v>
      </c>
      <c r="D7" s="52">
        <f>C7*4</f>
        <v>280000</v>
      </c>
    </row>
    <row r="8" spans="2:4">
      <c r="B8" s="4"/>
      <c r="C8" s="51"/>
      <c r="D8" s="52"/>
    </row>
    <row r="9" spans="2:4">
      <c r="B9" s="4"/>
      <c r="C9" s="59"/>
      <c r="D9" s="60"/>
    </row>
    <row r="10" spans="2:4">
      <c r="B10" s="4"/>
      <c r="C10" s="59"/>
      <c r="D10" s="60"/>
    </row>
    <row r="11" spans="2:4">
      <c r="B11" s="4"/>
      <c r="C11" s="59"/>
      <c r="D11" s="60"/>
    </row>
    <row r="12" spans="2:4" s="105" customFormat="1" ht="27.6" customHeight="1">
      <c r="B12" s="103" t="s">
        <v>8</v>
      </c>
      <c r="C12" s="104">
        <f>SUM(C5:C11)*0.3</f>
        <v>57000</v>
      </c>
      <c r="D12" s="104">
        <f>(D5+D6+D7)*0.3</f>
        <v>228000</v>
      </c>
    </row>
    <row r="13" spans="2:4">
      <c r="B13" s="5" t="s">
        <v>9</v>
      </c>
      <c r="C13" s="53">
        <f>SUM(C5:C12)</f>
        <v>247000</v>
      </c>
      <c r="D13" s="54">
        <f>SUM(D5:D12)</f>
        <v>988000</v>
      </c>
    </row>
    <row r="14" spans="2:4">
      <c r="B14" s="6"/>
      <c r="C14" s="7"/>
      <c r="D14" s="8"/>
    </row>
    <row r="15" spans="2:4" ht="5.25" customHeight="1">
      <c r="B15" s="9"/>
      <c r="C15" s="61"/>
      <c r="D15" s="61"/>
    </row>
    <row r="16" spans="2:4" ht="27.45" customHeight="1">
      <c r="B16" s="1" t="s">
        <v>10</v>
      </c>
      <c r="C16" s="61"/>
      <c r="D16" s="62"/>
    </row>
    <row r="17" spans="2:4">
      <c r="B17" s="4" t="s">
        <v>11</v>
      </c>
      <c r="C17" s="10">
        <v>4500</v>
      </c>
      <c r="D17" s="10">
        <f>C17*4</f>
        <v>18000</v>
      </c>
    </row>
    <row r="18" spans="2:4">
      <c r="B18" s="4" t="s">
        <v>12</v>
      </c>
      <c r="C18" s="63">
        <v>1000</v>
      </c>
      <c r="D18" s="10">
        <f>C18*4</f>
        <v>4000</v>
      </c>
    </row>
    <row r="19" spans="2:4">
      <c r="B19" s="4" t="s">
        <v>13</v>
      </c>
      <c r="C19" s="10">
        <v>1500</v>
      </c>
      <c r="D19" s="10">
        <v>1500</v>
      </c>
    </row>
    <row r="20" spans="2:4">
      <c r="B20" s="4" t="s">
        <v>14</v>
      </c>
      <c r="C20" s="10">
        <v>720</v>
      </c>
      <c r="D20" s="10">
        <f>C20*4</f>
        <v>2880</v>
      </c>
    </row>
    <row r="21" spans="2:4">
      <c r="B21" s="56" t="s">
        <v>15</v>
      </c>
      <c r="C21" s="57">
        <v>8000</v>
      </c>
      <c r="D21" s="10">
        <f>C21*4</f>
        <v>32000</v>
      </c>
    </row>
    <row r="22" spans="2:4" ht="104.25" customHeight="1">
      <c r="B22" s="58" t="s">
        <v>16</v>
      </c>
      <c r="C22" s="10">
        <v>50000</v>
      </c>
      <c r="D22" s="10">
        <f>50000+(35000*3)</f>
        <v>155000</v>
      </c>
    </row>
    <row r="23" spans="2:4" ht="55.2">
      <c r="B23" s="55" t="s">
        <v>17</v>
      </c>
      <c r="C23" s="10">
        <v>50000</v>
      </c>
      <c r="D23" s="10">
        <v>150000</v>
      </c>
    </row>
    <row r="24" spans="2:4">
      <c r="B24" s="4" t="s">
        <v>18</v>
      </c>
      <c r="C24" s="63"/>
      <c r="D24" s="10"/>
    </row>
    <row r="25" spans="2:4">
      <c r="B25" s="4" t="s">
        <v>19</v>
      </c>
      <c r="C25" s="63">
        <f>BOCES!B47</f>
        <v>536575</v>
      </c>
      <c r="D25" s="10">
        <f>BOCES!G47</f>
        <v>2191775</v>
      </c>
    </row>
    <row r="26" spans="2:4">
      <c r="B26" s="4" t="s">
        <v>20</v>
      </c>
      <c r="C26" s="10">
        <f>Employers!D6</f>
        <v>6487500</v>
      </c>
      <c r="D26" s="10">
        <f>Employers!D7</f>
        <v>25950000</v>
      </c>
    </row>
    <row r="27" spans="2:4">
      <c r="B27" s="4" t="s">
        <v>21</v>
      </c>
      <c r="C27" s="10">
        <f>'Complex Care Program'!D6</f>
        <v>5000000</v>
      </c>
      <c r="D27" s="10">
        <f>'Complex Care Program'!D7</f>
        <v>20000000</v>
      </c>
    </row>
    <row r="28" spans="2:4">
      <c r="B28" s="4" t="s">
        <v>22</v>
      </c>
      <c r="C28" s="88">
        <f>Transportation!E8</f>
        <v>387450</v>
      </c>
      <c r="D28" s="88">
        <f>Transportation!E15</f>
        <v>2712150</v>
      </c>
    </row>
    <row r="29" spans="2:4" ht="30" customHeight="1">
      <c r="B29" s="4" t="s">
        <v>23</v>
      </c>
      <c r="C29" s="10">
        <f>'Wellness Associates'!D6</f>
        <v>70000</v>
      </c>
      <c r="D29" s="10">
        <f>'Wellness Associates'!D7</f>
        <v>280000</v>
      </c>
    </row>
    <row r="30" spans="2:4" ht="27.6">
      <c r="B30" s="55" t="s">
        <v>24</v>
      </c>
      <c r="C30" s="10">
        <f>'AVS Consulting'!D4</f>
        <v>96000</v>
      </c>
      <c r="D30" s="10">
        <f>'AVS Consulting'!D5</f>
        <v>384000</v>
      </c>
    </row>
    <row r="31" spans="2:4" ht="31.2" customHeight="1">
      <c r="B31" s="55" t="s">
        <v>25</v>
      </c>
      <c r="C31" s="10">
        <f>'Refugees Helping Refugees'!B25</f>
        <v>100000</v>
      </c>
      <c r="D31" s="10">
        <f>'Refugees Helping Refugees'!F25</f>
        <v>400000</v>
      </c>
    </row>
    <row r="32" spans="2:4" ht="38.4" customHeight="1">
      <c r="B32" s="89" t="s">
        <v>26</v>
      </c>
      <c r="C32" s="10">
        <f>HEC!D4</f>
        <v>20000</v>
      </c>
      <c r="D32" s="10">
        <f>HEC!D6</f>
        <v>30000</v>
      </c>
    </row>
    <row r="33" spans="2:5" ht="40.200000000000003" customHeight="1">
      <c r="B33" s="55" t="s">
        <v>27</v>
      </c>
      <c r="C33" s="10">
        <f>CCSI!B8</f>
        <v>49300</v>
      </c>
      <c r="D33" s="10">
        <f>CCSI!F8</f>
        <v>124300</v>
      </c>
    </row>
    <row r="34" spans="2:5">
      <c r="B34" s="4"/>
      <c r="C34" s="10"/>
      <c r="D34" s="10"/>
    </row>
    <row r="35" spans="2:5">
      <c r="B35" s="5" t="s">
        <v>28</v>
      </c>
      <c r="C35" s="11">
        <f>SUM(C17:C34)</f>
        <v>12862545</v>
      </c>
      <c r="D35" s="12">
        <f>SUM(D17:D34)</f>
        <v>52435605</v>
      </c>
    </row>
    <row r="36" spans="2:5">
      <c r="B36" s="166"/>
      <c r="C36" s="62"/>
      <c r="D36" s="62"/>
    </row>
    <row r="37" spans="2:5">
      <c r="B37" s="162" t="s">
        <v>29</v>
      </c>
      <c r="C37" s="163">
        <f>SUM(C13+C35)</f>
        <v>13109545</v>
      </c>
      <c r="D37" s="163">
        <f>D13+D35</f>
        <v>53423605</v>
      </c>
    </row>
    <row r="38" spans="2:5">
      <c r="B38" s="164" t="s">
        <v>30</v>
      </c>
      <c r="C38" s="165">
        <f>C37*0.08</f>
        <v>1048763.6000000001</v>
      </c>
      <c r="D38" s="165">
        <f>D37*0.08</f>
        <v>4273888.4000000004</v>
      </c>
      <c r="E38" s="50"/>
    </row>
    <row r="39" spans="2:5">
      <c r="B39" s="162" t="s">
        <v>31</v>
      </c>
      <c r="C39" s="163">
        <f>SUM(C37:C38)</f>
        <v>14158308.6</v>
      </c>
      <c r="D39" s="163">
        <f>SUM(D37:D38)</f>
        <v>57697493.399999999</v>
      </c>
    </row>
  </sheetData>
  <mergeCells count="3">
    <mergeCell ref="B1:D1"/>
    <mergeCell ref="B2:D2"/>
    <mergeCell ref="B3:D3"/>
  </mergeCells>
  <pageMargins left="0.7" right="0.7" top="0.75" bottom="0.75" header="0.3" footer="0.3"/>
  <ignoredErrors>
    <ignoredError sqref="D6:D7 D17:D18 D20:D21" unlockedFormula="1"/>
    <ignoredError sqref="C38:D3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D12C-A799-4AB8-8A08-0DE1A6901FF3}">
  <dimension ref="A1:F9"/>
  <sheetViews>
    <sheetView workbookViewId="0">
      <selection activeCell="A9" sqref="A9:F9"/>
    </sheetView>
  </sheetViews>
  <sheetFormatPr defaultRowHeight="14.4"/>
  <cols>
    <col min="1" max="1" width="56.44140625" customWidth="1"/>
    <col min="2" max="6" width="12.88671875" customWidth="1"/>
  </cols>
  <sheetData>
    <row r="1" spans="1:6" ht="27" customHeight="1">
      <c r="A1" s="204" t="s">
        <v>161</v>
      </c>
      <c r="B1" s="204"/>
      <c r="C1" s="204"/>
      <c r="D1" s="204"/>
      <c r="E1" s="204"/>
      <c r="F1" s="204"/>
    </row>
    <row r="2" spans="1:6" ht="32.4" customHeight="1">
      <c r="A2" s="131" t="s">
        <v>162</v>
      </c>
      <c r="B2" s="109" t="s">
        <v>137</v>
      </c>
      <c r="C2" s="109" t="s">
        <v>112</v>
      </c>
      <c r="D2" s="109" t="s">
        <v>113</v>
      </c>
      <c r="E2" s="109" t="s">
        <v>138</v>
      </c>
      <c r="F2" s="110" t="s">
        <v>139</v>
      </c>
    </row>
    <row r="3" spans="1:6" ht="54.6" customHeight="1">
      <c r="A3" s="111" t="s">
        <v>163</v>
      </c>
      <c r="B3" s="112">
        <v>13200</v>
      </c>
      <c r="C3" s="112">
        <v>0</v>
      </c>
      <c r="D3" s="112">
        <v>0</v>
      </c>
      <c r="E3" s="112">
        <v>0</v>
      </c>
      <c r="F3" s="113">
        <f>SUM(B3:E3)</f>
        <v>13200</v>
      </c>
    </row>
    <row r="4" spans="1:6" ht="54.6" customHeight="1">
      <c r="A4" s="111" t="s">
        <v>164</v>
      </c>
      <c r="B4" s="112">
        <v>11100</v>
      </c>
      <c r="C4" s="112">
        <v>0</v>
      </c>
      <c r="D4" s="112">
        <v>0</v>
      </c>
      <c r="E4" s="112">
        <v>0</v>
      </c>
      <c r="F4" s="113">
        <f>SUM(B4:E4)</f>
        <v>11100</v>
      </c>
    </row>
    <row r="5" spans="1:6" ht="55.2" customHeight="1">
      <c r="A5" s="111" t="s">
        <v>165</v>
      </c>
      <c r="B5" s="112">
        <v>17000</v>
      </c>
      <c r="C5" s="112">
        <v>17000</v>
      </c>
      <c r="D5" s="112">
        <v>17000</v>
      </c>
      <c r="E5" s="112">
        <v>17000</v>
      </c>
      <c r="F5" s="113">
        <f>SUM(B5:E5)</f>
        <v>68000</v>
      </c>
    </row>
    <row r="6" spans="1:6" ht="54.6" customHeight="1">
      <c r="A6" s="111" t="s">
        <v>166</v>
      </c>
      <c r="B6" s="112">
        <v>8000</v>
      </c>
      <c r="C6" s="112">
        <v>8000</v>
      </c>
      <c r="D6" s="112">
        <v>8000</v>
      </c>
      <c r="E6" s="112">
        <v>8000</v>
      </c>
      <c r="F6" s="113">
        <f>SUM(B6:E6)</f>
        <v>32000</v>
      </c>
    </row>
    <row r="7" spans="1:6">
      <c r="A7" s="102"/>
      <c r="B7" s="112"/>
      <c r="C7" s="112"/>
      <c r="D7" s="112"/>
      <c r="E7" s="112"/>
      <c r="F7" s="113"/>
    </row>
    <row r="8" spans="1:6" ht="23.4" customHeight="1">
      <c r="A8" s="124" t="s">
        <v>33</v>
      </c>
      <c r="B8" s="125">
        <f>SUM(B3:B6)</f>
        <v>49300</v>
      </c>
      <c r="C8" s="125">
        <f>SUM(C3:C6)</f>
        <v>25000</v>
      </c>
      <c r="D8" s="125">
        <f>SUM(D3:D6)</f>
        <v>25000</v>
      </c>
      <c r="E8" s="125">
        <f>SUM(E3:E6)</f>
        <v>25000</v>
      </c>
      <c r="F8" s="126">
        <f>SUM(B8:E8)</f>
        <v>124300</v>
      </c>
    </row>
    <row r="9" spans="1:6" ht="63.6" customHeight="1">
      <c r="A9" s="205" t="s">
        <v>167</v>
      </c>
      <c r="B9" s="206"/>
      <c r="C9" s="206"/>
      <c r="D9" s="206"/>
      <c r="E9" s="206"/>
      <c r="F9" s="207"/>
    </row>
  </sheetData>
  <mergeCells count="2">
    <mergeCell ref="A1:F1"/>
    <mergeCell ref="A9:F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BE593-405D-4DEF-ACB3-DA837CB17F75}">
  <dimension ref="A1:H48"/>
  <sheetViews>
    <sheetView topLeftCell="A40" zoomScaleNormal="100" workbookViewId="0">
      <selection activeCell="A59" sqref="A59"/>
    </sheetView>
  </sheetViews>
  <sheetFormatPr defaultRowHeight="14.4"/>
  <cols>
    <col min="1" max="1" width="77.33203125" customWidth="1"/>
    <col min="2" max="5" width="11.33203125" style="68" customWidth="1"/>
    <col min="6" max="6" width="12.33203125" style="68" customWidth="1"/>
    <col min="7" max="7" width="11.33203125" style="68" customWidth="1"/>
    <col min="8" max="8" width="27.33203125" customWidth="1"/>
  </cols>
  <sheetData>
    <row r="1" spans="1:8" ht="28.95" customHeight="1">
      <c r="A1" s="178" t="s">
        <v>32</v>
      </c>
      <c r="B1" s="179"/>
      <c r="C1" s="179"/>
      <c r="D1" s="179"/>
      <c r="E1" s="179"/>
      <c r="F1" s="179"/>
      <c r="G1" s="179"/>
      <c r="H1" s="180"/>
    </row>
    <row r="2" spans="1:8">
      <c r="A2" s="73"/>
      <c r="B2" s="85">
        <v>1</v>
      </c>
      <c r="C2" s="86">
        <v>2</v>
      </c>
      <c r="D2" s="86">
        <v>3</v>
      </c>
      <c r="E2" s="87">
        <v>4</v>
      </c>
      <c r="F2" s="176" t="s">
        <v>33</v>
      </c>
      <c r="G2" s="177"/>
      <c r="H2" s="157" t="s">
        <v>34</v>
      </c>
    </row>
    <row r="3" spans="1:8">
      <c r="A3" s="84" t="s">
        <v>35</v>
      </c>
      <c r="B3" s="74"/>
      <c r="C3" s="74"/>
      <c r="D3" s="69"/>
      <c r="E3" s="69"/>
      <c r="F3" s="70"/>
      <c r="G3" s="75"/>
      <c r="H3" s="71"/>
    </row>
    <row r="4" spans="1:8">
      <c r="A4" s="76" t="s">
        <v>36</v>
      </c>
      <c r="B4" s="74">
        <v>13750</v>
      </c>
      <c r="C4" s="74">
        <v>14250</v>
      </c>
      <c r="D4" s="74">
        <v>14750</v>
      </c>
      <c r="E4" s="74">
        <v>15250</v>
      </c>
      <c r="F4" s="77">
        <f>SUM(B4:E4)</f>
        <v>58000</v>
      </c>
      <c r="G4" s="78"/>
      <c r="H4" s="161"/>
    </row>
    <row r="5" spans="1:8">
      <c r="A5" s="76" t="s">
        <v>37</v>
      </c>
      <c r="B5" s="74">
        <v>5500</v>
      </c>
      <c r="C5" s="74">
        <v>5500</v>
      </c>
      <c r="D5" s="74">
        <v>5500</v>
      </c>
      <c r="E5" s="74">
        <v>5500</v>
      </c>
      <c r="F5" s="77">
        <f>SUM(B5:E5)</f>
        <v>22000</v>
      </c>
      <c r="G5" s="78"/>
      <c r="H5" s="161"/>
    </row>
    <row r="6" spans="1:8">
      <c r="A6" s="76"/>
      <c r="B6" s="74"/>
      <c r="C6" s="74"/>
      <c r="D6" s="74"/>
      <c r="E6" s="74"/>
      <c r="F6" s="77"/>
      <c r="G6" s="78">
        <f>SUM(F4:F5)</f>
        <v>80000</v>
      </c>
      <c r="H6" s="161"/>
    </row>
    <row r="7" spans="1:8">
      <c r="A7" s="79" t="s">
        <v>38</v>
      </c>
      <c r="B7" s="74"/>
      <c r="C7" s="74"/>
      <c r="D7" s="74"/>
      <c r="E7" s="74"/>
      <c r="F7" s="77"/>
      <c r="G7" s="78"/>
      <c r="H7" s="161"/>
    </row>
    <row r="8" spans="1:8">
      <c r="A8" s="76" t="s">
        <v>39</v>
      </c>
      <c r="B8" s="74"/>
      <c r="C8" s="74"/>
      <c r="D8" s="74"/>
      <c r="E8" s="74"/>
      <c r="F8" s="77">
        <f>SUM(B8:E8)</f>
        <v>0</v>
      </c>
      <c r="G8" s="78"/>
      <c r="H8" s="161"/>
    </row>
    <row r="9" spans="1:8">
      <c r="A9" s="76" t="s">
        <v>40</v>
      </c>
      <c r="B9" s="74">
        <v>5000</v>
      </c>
      <c r="C9" s="74">
        <v>5000</v>
      </c>
      <c r="D9" s="74">
        <v>5000</v>
      </c>
      <c r="E9" s="74"/>
      <c r="F9" s="77">
        <f>SUM(B9:E9)</f>
        <v>15000</v>
      </c>
      <c r="G9" s="78"/>
      <c r="H9" s="161"/>
    </row>
    <row r="10" spans="1:8">
      <c r="A10" s="76"/>
      <c r="B10" s="74"/>
      <c r="C10" s="74"/>
      <c r="D10" s="74"/>
      <c r="E10" s="74"/>
      <c r="F10" s="77"/>
      <c r="G10" s="78">
        <f>SUM(F8:F9)</f>
        <v>15000</v>
      </c>
      <c r="H10" s="161"/>
    </row>
    <row r="11" spans="1:8">
      <c r="A11" s="79" t="s">
        <v>41</v>
      </c>
      <c r="B11" s="74"/>
      <c r="C11" s="74"/>
      <c r="D11" s="74"/>
      <c r="E11" s="74"/>
      <c r="F11" s="77"/>
      <c r="G11" s="78"/>
      <c r="H11" s="161"/>
    </row>
    <row r="12" spans="1:8">
      <c r="A12" s="76" t="s">
        <v>42</v>
      </c>
      <c r="B12" s="80">
        <v>125000</v>
      </c>
      <c r="C12" s="80">
        <v>131250</v>
      </c>
      <c r="D12" s="80">
        <v>137500</v>
      </c>
      <c r="E12" s="80">
        <v>143750</v>
      </c>
      <c r="F12" s="81">
        <f>SUM(B12:E12)</f>
        <v>537500</v>
      </c>
      <c r="G12" s="78"/>
      <c r="H12" s="161" t="s">
        <v>43</v>
      </c>
    </row>
    <row r="13" spans="1:8">
      <c r="A13" s="76" t="s">
        <v>44</v>
      </c>
      <c r="B13" s="74">
        <v>46000</v>
      </c>
      <c r="C13" s="74">
        <v>46000</v>
      </c>
      <c r="D13" s="74">
        <v>46000</v>
      </c>
      <c r="E13" s="74"/>
      <c r="F13" s="77">
        <f>SUM(B13:E13)</f>
        <v>138000</v>
      </c>
      <c r="G13" s="78"/>
      <c r="H13" s="161"/>
    </row>
    <row r="14" spans="1:8">
      <c r="A14" s="76"/>
      <c r="B14" s="74"/>
      <c r="C14" s="74"/>
      <c r="D14" s="74"/>
      <c r="E14" s="74"/>
      <c r="F14" s="77"/>
      <c r="G14" s="78">
        <f>SUM(F12:F13)</f>
        <v>675500</v>
      </c>
      <c r="H14" s="161"/>
    </row>
    <row r="15" spans="1:8">
      <c r="A15" s="79" t="s">
        <v>45</v>
      </c>
      <c r="B15" s="74"/>
      <c r="C15" s="74"/>
      <c r="D15" s="74"/>
      <c r="E15" s="74"/>
      <c r="F15" s="77"/>
      <c r="G15" s="78"/>
      <c r="H15" s="161"/>
    </row>
    <row r="16" spans="1:8">
      <c r="A16" s="76" t="s">
        <v>46</v>
      </c>
      <c r="B16" s="74"/>
      <c r="C16" s="74"/>
      <c r="D16" s="74"/>
      <c r="E16" s="74"/>
      <c r="F16" s="77">
        <f>SUM(B16:E16)</f>
        <v>0</v>
      </c>
      <c r="G16" s="78"/>
      <c r="H16" s="161"/>
    </row>
    <row r="17" spans="1:8">
      <c r="A17" s="76" t="s">
        <v>47</v>
      </c>
      <c r="B17" s="80">
        <v>5280</v>
      </c>
      <c r="C17" s="80">
        <v>5520</v>
      </c>
      <c r="D17" s="80">
        <v>5760</v>
      </c>
      <c r="E17" s="80">
        <v>6000</v>
      </c>
      <c r="F17" s="81">
        <f>SUM(B17:E17)</f>
        <v>22560</v>
      </c>
      <c r="G17" s="82"/>
      <c r="H17" s="161"/>
    </row>
    <row r="18" spans="1:8">
      <c r="A18" s="76" t="s">
        <v>48</v>
      </c>
      <c r="B18" s="80">
        <v>6960</v>
      </c>
      <c r="C18" s="80">
        <v>7320</v>
      </c>
      <c r="D18" s="80">
        <v>7680</v>
      </c>
      <c r="E18" s="80">
        <v>8040</v>
      </c>
      <c r="F18" s="81">
        <f>SUM(B18:E18)</f>
        <v>30000</v>
      </c>
      <c r="G18" s="82"/>
      <c r="H18" s="161"/>
    </row>
    <row r="19" spans="1:8">
      <c r="A19" s="76"/>
      <c r="B19" s="80"/>
      <c r="C19" s="80"/>
      <c r="D19" s="80"/>
      <c r="E19" s="80"/>
      <c r="F19" s="77"/>
      <c r="G19" s="82">
        <f>SUM(F16:F18)</f>
        <v>52560</v>
      </c>
      <c r="H19" s="161" t="s">
        <v>43</v>
      </c>
    </row>
    <row r="20" spans="1:8">
      <c r="A20" s="79" t="s">
        <v>49</v>
      </c>
      <c r="B20" s="74"/>
      <c r="C20" s="74"/>
      <c r="D20" s="74"/>
      <c r="E20" s="74"/>
      <c r="F20" s="77"/>
      <c r="G20" s="78"/>
      <c r="H20" s="72"/>
    </row>
    <row r="21" spans="1:8">
      <c r="A21" s="76" t="s">
        <v>50</v>
      </c>
      <c r="B21" s="74">
        <v>10500</v>
      </c>
      <c r="C21" s="74"/>
      <c r="D21" s="74"/>
      <c r="E21" s="74"/>
      <c r="F21" s="77">
        <f>SUM(B21:E21)</f>
        <v>10500</v>
      </c>
      <c r="G21" s="78"/>
      <c r="H21" s="72"/>
    </row>
    <row r="22" spans="1:8">
      <c r="A22" s="76" t="s">
        <v>51</v>
      </c>
      <c r="B22" s="74">
        <v>16500</v>
      </c>
      <c r="C22" s="74">
        <v>17350</v>
      </c>
      <c r="D22" s="74">
        <v>18200</v>
      </c>
      <c r="E22" s="74">
        <v>19100</v>
      </c>
      <c r="F22" s="77">
        <f>SUM(B22:E22)</f>
        <v>71150</v>
      </c>
      <c r="G22" s="78"/>
      <c r="H22" s="72"/>
    </row>
    <row r="23" spans="1:8">
      <c r="A23" s="76" t="s">
        <v>52</v>
      </c>
      <c r="B23" s="74">
        <v>25000</v>
      </c>
      <c r="C23" s="74">
        <v>10000</v>
      </c>
      <c r="D23" s="74">
        <v>5000</v>
      </c>
      <c r="E23" s="74"/>
      <c r="F23" s="77">
        <f>SUM(B23:E23)</f>
        <v>40000</v>
      </c>
      <c r="G23" s="78"/>
      <c r="H23" s="72"/>
    </row>
    <row r="24" spans="1:8">
      <c r="A24" s="76"/>
      <c r="B24" s="74"/>
      <c r="C24" s="74"/>
      <c r="D24" s="74"/>
      <c r="E24" s="74"/>
      <c r="F24" s="77"/>
      <c r="G24" s="78">
        <f>SUM(F21:F23)</f>
        <v>121650</v>
      </c>
      <c r="H24" s="72"/>
    </row>
    <row r="25" spans="1:8">
      <c r="A25" s="79" t="s">
        <v>53</v>
      </c>
      <c r="B25" s="74"/>
      <c r="C25" s="74"/>
      <c r="D25" s="74"/>
      <c r="E25" s="74"/>
      <c r="F25" s="77"/>
      <c r="G25" s="78"/>
      <c r="H25" s="72"/>
    </row>
    <row r="26" spans="1:8">
      <c r="A26" s="76" t="s">
        <v>39</v>
      </c>
      <c r="B26" s="74">
        <v>0</v>
      </c>
      <c r="C26" s="74">
        <v>0</v>
      </c>
      <c r="D26" s="74">
        <v>0</v>
      </c>
      <c r="E26" s="74">
        <v>0</v>
      </c>
      <c r="F26" s="77"/>
      <c r="G26" s="78"/>
      <c r="H26" s="72"/>
    </row>
    <row r="27" spans="1:8">
      <c r="A27" s="76"/>
      <c r="B27" s="74"/>
      <c r="C27" s="74"/>
      <c r="D27" s="74"/>
      <c r="E27" s="74"/>
      <c r="F27" s="77"/>
      <c r="G27" s="78"/>
      <c r="H27" s="72"/>
    </row>
    <row r="28" spans="1:8">
      <c r="A28" s="79" t="s">
        <v>54</v>
      </c>
      <c r="B28" s="74"/>
      <c r="C28" s="74"/>
      <c r="D28" s="74"/>
      <c r="E28" s="74"/>
      <c r="F28" s="77"/>
      <c r="G28" s="78"/>
      <c r="H28" s="72"/>
    </row>
    <row r="29" spans="1:8">
      <c r="A29" s="76" t="s">
        <v>55</v>
      </c>
      <c r="B29" s="74">
        <v>12500</v>
      </c>
      <c r="C29" s="74">
        <v>13000</v>
      </c>
      <c r="D29" s="74">
        <v>13500</v>
      </c>
      <c r="E29" s="74">
        <v>14000</v>
      </c>
      <c r="F29" s="77">
        <f>SUM(B29:E29)</f>
        <v>53000</v>
      </c>
      <c r="G29" s="78"/>
      <c r="H29" s="72"/>
    </row>
    <row r="30" spans="1:8">
      <c r="A30" s="76"/>
      <c r="B30" s="74"/>
      <c r="C30" s="74"/>
      <c r="D30" s="74"/>
      <c r="E30" s="74"/>
      <c r="F30" s="77"/>
      <c r="G30" s="78">
        <f>SUM(F29)</f>
        <v>53000</v>
      </c>
      <c r="H30" s="72"/>
    </row>
    <row r="31" spans="1:8">
      <c r="A31" s="79" t="s">
        <v>56</v>
      </c>
      <c r="B31" s="74"/>
      <c r="C31" s="74"/>
      <c r="D31" s="74"/>
      <c r="E31" s="74"/>
      <c r="F31" s="77"/>
      <c r="G31" s="78"/>
      <c r="H31" s="72"/>
    </row>
    <row r="32" spans="1:8">
      <c r="A32" s="76" t="s">
        <v>57</v>
      </c>
      <c r="B32" s="74">
        <v>116350</v>
      </c>
      <c r="C32" s="74">
        <v>75750</v>
      </c>
      <c r="D32" s="74">
        <v>63800</v>
      </c>
      <c r="E32" s="74">
        <v>67000</v>
      </c>
      <c r="F32" s="77">
        <f>SUM(B32:E32)</f>
        <v>322900</v>
      </c>
      <c r="G32" s="78"/>
      <c r="H32" s="72"/>
    </row>
    <row r="33" spans="1:8">
      <c r="A33" s="76" t="s">
        <v>58</v>
      </c>
      <c r="B33" s="74">
        <v>72175</v>
      </c>
      <c r="C33" s="74">
        <v>147950</v>
      </c>
      <c r="D33" s="74">
        <v>155350</v>
      </c>
      <c r="E33" s="74">
        <v>163150</v>
      </c>
      <c r="F33" s="77">
        <f>SUM(B33:E33)</f>
        <v>538625</v>
      </c>
      <c r="G33" s="78"/>
      <c r="H33" s="72"/>
    </row>
    <row r="34" spans="1:8">
      <c r="A34" s="76" t="s">
        <v>59</v>
      </c>
      <c r="B34" s="74">
        <v>100000</v>
      </c>
      <c r="C34" s="74">
        <v>25000</v>
      </c>
      <c r="D34" s="74">
        <v>10000</v>
      </c>
      <c r="E34" s="74">
        <v>5000</v>
      </c>
      <c r="F34" s="77">
        <f>SUM(B34:E34)</f>
        <v>140000</v>
      </c>
      <c r="G34" s="78"/>
      <c r="H34" s="72"/>
    </row>
    <row r="35" spans="1:8">
      <c r="A35" s="76"/>
      <c r="B35" s="74"/>
      <c r="C35" s="74"/>
      <c r="D35" s="74"/>
      <c r="E35" s="74"/>
      <c r="F35" s="77"/>
      <c r="G35" s="78">
        <f>SUM(F32:F34)</f>
        <v>1001525</v>
      </c>
      <c r="H35" s="72"/>
    </row>
    <row r="36" spans="1:8">
      <c r="A36" s="79" t="s">
        <v>60</v>
      </c>
      <c r="B36" s="74"/>
      <c r="C36" s="74"/>
      <c r="D36" s="74"/>
      <c r="E36" s="74"/>
      <c r="F36" s="77"/>
      <c r="G36" s="78"/>
      <c r="H36" s="72"/>
    </row>
    <row r="37" spans="1:8">
      <c r="A37" s="76" t="s">
        <v>61</v>
      </c>
      <c r="B37" s="74">
        <v>2500</v>
      </c>
      <c r="C37" s="74">
        <v>2500</v>
      </c>
      <c r="D37" s="74">
        <v>2500</v>
      </c>
      <c r="E37" s="74">
        <v>2500</v>
      </c>
      <c r="F37" s="77">
        <f>SUM(B37:E37)</f>
        <v>10000</v>
      </c>
      <c r="G37" s="78"/>
      <c r="H37" s="72"/>
    </row>
    <row r="38" spans="1:8">
      <c r="A38" s="76" t="s">
        <v>62</v>
      </c>
      <c r="B38" s="74">
        <v>15350</v>
      </c>
      <c r="C38" s="74">
        <v>16075</v>
      </c>
      <c r="D38" s="74">
        <v>16900</v>
      </c>
      <c r="E38" s="74">
        <v>17725</v>
      </c>
      <c r="F38" s="77">
        <f>SUM(B38:E38)</f>
        <v>66050</v>
      </c>
      <c r="G38" s="78"/>
      <c r="H38" s="72"/>
    </row>
    <row r="39" spans="1:8">
      <c r="A39" s="76" t="s">
        <v>63</v>
      </c>
      <c r="B39" s="74">
        <v>82950</v>
      </c>
      <c r="C39" s="74">
        <v>170050</v>
      </c>
      <c r="D39" s="74">
        <v>178550</v>
      </c>
      <c r="E39" s="74">
        <v>187500</v>
      </c>
      <c r="F39" s="77">
        <f>SUM(B39:E39)</f>
        <v>619050</v>
      </c>
      <c r="G39" s="78"/>
      <c r="H39" s="72"/>
    </row>
    <row r="40" spans="1:8">
      <c r="A40" s="76" t="s">
        <v>64</v>
      </c>
      <c r="B40" s="74">
        <v>12500</v>
      </c>
      <c r="C40" s="74">
        <v>25000</v>
      </c>
      <c r="D40" s="74">
        <v>25000</v>
      </c>
      <c r="E40" s="74">
        <v>25000</v>
      </c>
      <c r="F40" s="77">
        <f>SUM(B40:E40)</f>
        <v>87500</v>
      </c>
      <c r="G40" s="78"/>
      <c r="H40" s="72"/>
    </row>
    <row r="41" spans="1:8">
      <c r="A41" s="76"/>
      <c r="B41" s="74"/>
      <c r="C41" s="74"/>
      <c r="D41" s="74"/>
      <c r="E41" s="74"/>
      <c r="F41" s="77"/>
      <c r="G41" s="78">
        <f>SUM(F37:F40)</f>
        <v>782600</v>
      </c>
      <c r="H41" s="72"/>
    </row>
    <row r="42" spans="1:8">
      <c r="A42" s="76" t="s">
        <v>65</v>
      </c>
      <c r="B42" s="74">
        <f>SUM(B4:B40)</f>
        <v>673815</v>
      </c>
      <c r="C42" s="74">
        <f>SUM(C4:C40)</f>
        <v>717515</v>
      </c>
      <c r="D42" s="74">
        <f>SUM(D4:D40)</f>
        <v>710990</v>
      </c>
      <c r="E42" s="74">
        <f>SUM(E4:E40)</f>
        <v>679515</v>
      </c>
      <c r="F42" s="77"/>
      <c r="G42" s="78">
        <f>SUM(G4:G41)</f>
        <v>2781835</v>
      </c>
      <c r="H42" s="72"/>
    </row>
    <row r="43" spans="1:8">
      <c r="A43" s="76"/>
      <c r="B43" s="74"/>
      <c r="C43" s="74"/>
      <c r="D43" s="74"/>
      <c r="E43" s="74"/>
      <c r="F43" s="77"/>
      <c r="G43" s="78"/>
      <c r="H43" s="72"/>
    </row>
    <row r="44" spans="1:8">
      <c r="A44" s="83" t="s">
        <v>66</v>
      </c>
      <c r="B44" s="80">
        <f>B12</f>
        <v>125000</v>
      </c>
      <c r="C44" s="80">
        <f>C12</f>
        <v>131250</v>
      </c>
      <c r="D44" s="80">
        <f>D12</f>
        <v>137500</v>
      </c>
      <c r="E44" s="80">
        <f>E12</f>
        <v>143750</v>
      </c>
      <c r="F44" s="81">
        <f>F12</f>
        <v>537500</v>
      </c>
      <c r="G44" s="82">
        <f>F44</f>
        <v>537500</v>
      </c>
      <c r="H44" s="72"/>
    </row>
    <row r="45" spans="1:8">
      <c r="A45" s="83" t="s">
        <v>67</v>
      </c>
      <c r="B45" s="80">
        <f>B17+B18</f>
        <v>12240</v>
      </c>
      <c r="C45" s="80">
        <f>C17+C18</f>
        <v>12840</v>
      </c>
      <c r="D45" s="80">
        <f>D17+D18</f>
        <v>13440</v>
      </c>
      <c r="E45" s="80">
        <f>E17+E18</f>
        <v>14040</v>
      </c>
      <c r="F45" s="81">
        <f>F17+F18</f>
        <v>52560</v>
      </c>
      <c r="G45" s="82">
        <f>F45</f>
        <v>52560</v>
      </c>
      <c r="H45" s="72"/>
    </row>
    <row r="46" spans="1:8">
      <c r="A46" s="76"/>
      <c r="B46" s="74"/>
      <c r="C46" s="74"/>
      <c r="D46" s="74"/>
      <c r="E46" s="74"/>
      <c r="F46" s="77"/>
      <c r="G46" s="78"/>
      <c r="H46" s="72"/>
    </row>
    <row r="47" spans="1:8" ht="28.95" customHeight="1">
      <c r="A47" s="156" t="s">
        <v>68</v>
      </c>
      <c r="B47" s="158">
        <f t="shared" ref="B47:G47" si="0">B42-B44-B45</f>
        <v>536575</v>
      </c>
      <c r="C47" s="158">
        <f t="shared" si="0"/>
        <v>573425</v>
      </c>
      <c r="D47" s="158">
        <f t="shared" si="0"/>
        <v>560050</v>
      </c>
      <c r="E47" s="158">
        <f t="shared" si="0"/>
        <v>521725</v>
      </c>
      <c r="F47" s="155">
        <f t="shared" si="0"/>
        <v>-590060</v>
      </c>
      <c r="G47" s="159">
        <f t="shared" si="0"/>
        <v>2191775</v>
      </c>
      <c r="H47" s="72"/>
    </row>
    <row r="48" spans="1:8" ht="54.6" customHeight="1">
      <c r="A48" s="181" t="s">
        <v>69</v>
      </c>
      <c r="B48" s="181"/>
      <c r="C48" s="181"/>
      <c r="D48" s="181"/>
      <c r="E48" s="181"/>
      <c r="F48" s="181"/>
      <c r="G48" s="181"/>
      <c r="H48" s="181"/>
    </row>
  </sheetData>
  <mergeCells count="3">
    <mergeCell ref="F2:G2"/>
    <mergeCell ref="A1:H1"/>
    <mergeCell ref="A48:H48"/>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7413-6541-4FCC-AA67-C8993ACCC2E3}">
  <dimension ref="A1:H24"/>
  <sheetViews>
    <sheetView topLeftCell="A7" workbookViewId="0">
      <selection activeCell="F10" sqref="F10:F15"/>
    </sheetView>
  </sheetViews>
  <sheetFormatPr defaultRowHeight="14.4"/>
  <cols>
    <col min="1" max="1" width="18.44140625" customWidth="1"/>
    <col min="2" max="2" width="12.44140625" customWidth="1"/>
    <col min="3" max="3" width="22.6640625" customWidth="1"/>
    <col min="4" max="4" width="14.109375" customWidth="1"/>
    <col min="6" max="6" width="49.6640625" customWidth="1"/>
    <col min="7" max="7" width="51.5546875" customWidth="1"/>
  </cols>
  <sheetData>
    <row r="1" spans="1:8" ht="35.4" customHeight="1">
      <c r="A1" s="182" t="s">
        <v>70</v>
      </c>
      <c r="B1" s="183"/>
      <c r="C1" s="183"/>
      <c r="D1" s="183"/>
      <c r="E1" s="183"/>
      <c r="F1" s="183"/>
      <c r="G1" s="184"/>
      <c r="H1" s="27"/>
    </row>
    <row r="2" spans="1:8" ht="28.8">
      <c r="A2" s="152" t="s">
        <v>71</v>
      </c>
      <c r="B2" s="153" t="s">
        <v>72</v>
      </c>
      <c r="C2" s="152" t="s">
        <v>73</v>
      </c>
      <c r="D2" s="152" t="s">
        <v>33</v>
      </c>
      <c r="E2" s="154"/>
      <c r="F2" s="152" t="s">
        <v>74</v>
      </c>
      <c r="G2" s="152" t="s">
        <v>75</v>
      </c>
      <c r="H2" s="28"/>
    </row>
    <row r="3" spans="1:8" ht="107.7" customHeight="1" thickBot="1">
      <c r="A3" s="30" t="s">
        <v>76</v>
      </c>
      <c r="B3" s="31">
        <v>325</v>
      </c>
      <c r="C3" s="32">
        <f>D17</f>
        <v>11500</v>
      </c>
      <c r="D3" s="32">
        <f>B3*C3</f>
        <v>3737500</v>
      </c>
      <c r="E3" s="29"/>
      <c r="F3" s="64" t="s">
        <v>77</v>
      </c>
      <c r="G3" s="37"/>
      <c r="H3" s="28"/>
    </row>
    <row r="4" spans="1:8" ht="63.75" customHeight="1">
      <c r="A4" s="30" t="s">
        <v>78</v>
      </c>
      <c r="B4" s="31">
        <v>50</v>
      </c>
      <c r="C4" s="33">
        <v>30000</v>
      </c>
      <c r="D4" s="33">
        <f t="shared" ref="D4:D5" si="0">B4*C4</f>
        <v>1500000</v>
      </c>
      <c r="E4" s="29"/>
      <c r="F4" s="65" t="s">
        <v>79</v>
      </c>
      <c r="G4" s="66"/>
      <c r="H4" s="34"/>
    </row>
    <row r="5" spans="1:8" ht="58.2" customHeight="1">
      <c r="A5" s="30" t="s">
        <v>80</v>
      </c>
      <c r="B5" s="31">
        <v>25</v>
      </c>
      <c r="C5" s="33">
        <v>50000</v>
      </c>
      <c r="D5" s="33">
        <f t="shared" si="0"/>
        <v>1250000</v>
      </c>
      <c r="E5" s="29"/>
      <c r="F5" s="67" t="s">
        <v>81</v>
      </c>
      <c r="G5" s="66"/>
      <c r="H5" s="34"/>
    </row>
    <row r="6" spans="1:8" ht="72">
      <c r="A6" s="145" t="s">
        <v>82</v>
      </c>
      <c r="B6" s="146">
        <f>SUM(B3:B5)</f>
        <v>400</v>
      </c>
      <c r="C6" s="147"/>
      <c r="D6" s="148">
        <f>SUM(D3:D5)</f>
        <v>6487500</v>
      </c>
      <c r="E6" s="29"/>
      <c r="F6" s="64" t="s">
        <v>83</v>
      </c>
      <c r="G6" s="37"/>
      <c r="H6" s="28"/>
    </row>
    <row r="7" spans="1:8">
      <c r="A7" s="149" t="s">
        <v>84</v>
      </c>
      <c r="B7" s="150">
        <f>B6*4</f>
        <v>1600</v>
      </c>
      <c r="C7" s="147"/>
      <c r="D7" s="148">
        <f>D6*4</f>
        <v>25950000</v>
      </c>
      <c r="E7" s="29"/>
      <c r="F7" s="37"/>
      <c r="G7" s="37"/>
      <c r="H7" s="28"/>
    </row>
    <row r="8" spans="1:8">
      <c r="A8" s="37"/>
      <c r="B8" s="29"/>
      <c r="C8" s="29"/>
      <c r="D8" s="29"/>
      <c r="E8" s="29"/>
      <c r="F8" s="37"/>
      <c r="G8" s="37"/>
      <c r="H8" s="28"/>
    </row>
    <row r="9" spans="1:8">
      <c r="A9" s="22"/>
      <c r="B9" s="39" t="s">
        <v>85</v>
      </c>
      <c r="C9" s="29"/>
      <c r="D9" s="29"/>
      <c r="E9" s="29"/>
      <c r="F9" s="37"/>
      <c r="G9" s="37"/>
      <c r="H9" s="28"/>
    </row>
    <row r="10" spans="1:8" ht="15.6" customHeight="1">
      <c r="A10" s="29"/>
      <c r="B10" s="29"/>
      <c r="C10" s="29" t="s">
        <v>86</v>
      </c>
      <c r="D10" s="40">
        <v>3400</v>
      </c>
      <c r="E10" s="29"/>
      <c r="F10" s="185" t="s">
        <v>87</v>
      </c>
      <c r="G10" s="23" t="s">
        <v>88</v>
      </c>
      <c r="H10" s="24"/>
    </row>
    <row r="11" spans="1:8">
      <c r="A11" s="29"/>
      <c r="B11" s="29"/>
      <c r="C11" s="29" t="s">
        <v>89</v>
      </c>
      <c r="D11" s="40">
        <v>1100</v>
      </c>
      <c r="E11" s="29"/>
      <c r="F11" s="186"/>
      <c r="G11" s="25" t="s">
        <v>90</v>
      </c>
      <c r="H11" s="24"/>
    </row>
    <row r="12" spans="1:8">
      <c r="A12" s="29"/>
      <c r="B12" s="29"/>
      <c r="C12" s="29" t="s">
        <v>91</v>
      </c>
      <c r="D12" s="40">
        <v>2000</v>
      </c>
      <c r="E12" s="29"/>
      <c r="F12" s="186"/>
      <c r="G12" s="25"/>
      <c r="H12" s="24"/>
    </row>
    <row r="13" spans="1:8">
      <c r="A13" s="29"/>
      <c r="B13" s="29"/>
      <c r="C13" s="29" t="s">
        <v>92</v>
      </c>
      <c r="D13" s="40">
        <v>2000</v>
      </c>
      <c r="E13" s="29"/>
      <c r="F13" s="186"/>
      <c r="G13" s="25"/>
      <c r="H13" s="24"/>
    </row>
    <row r="14" spans="1:8">
      <c r="A14" s="29"/>
      <c r="B14" s="29"/>
      <c r="C14" s="29" t="s">
        <v>93</v>
      </c>
      <c r="D14" s="40">
        <v>1000</v>
      </c>
      <c r="E14" s="29"/>
      <c r="F14" s="186"/>
      <c r="G14" s="25"/>
      <c r="H14" s="24"/>
    </row>
    <row r="15" spans="1:8">
      <c r="A15" s="29"/>
      <c r="B15" s="29"/>
      <c r="C15" s="29" t="s">
        <v>94</v>
      </c>
      <c r="D15" s="40">
        <v>1000</v>
      </c>
      <c r="E15" s="29"/>
      <c r="F15" s="187"/>
      <c r="G15" s="25"/>
      <c r="H15" s="24"/>
    </row>
    <row r="16" spans="1:8" ht="15" thickBot="1">
      <c r="A16" s="29"/>
      <c r="B16" s="29"/>
      <c r="C16" s="29" t="s">
        <v>95</v>
      </c>
      <c r="D16" s="41">
        <v>1000</v>
      </c>
      <c r="E16" s="29"/>
      <c r="F16" s="37"/>
      <c r="G16" s="25" t="s">
        <v>96</v>
      </c>
      <c r="H16" s="24"/>
    </row>
    <row r="17" spans="1:8">
      <c r="A17" s="29"/>
      <c r="B17" s="29"/>
      <c r="C17" s="29"/>
      <c r="D17" s="42">
        <f>SUM(D10:D16)</f>
        <v>11500</v>
      </c>
      <c r="E17" s="29"/>
      <c r="F17" s="37"/>
      <c r="G17" s="25"/>
      <c r="H17" s="24"/>
    </row>
    <row r="18" spans="1:8">
      <c r="A18" s="28"/>
      <c r="B18" s="28"/>
      <c r="C18" s="26"/>
      <c r="D18" s="28"/>
      <c r="E18" s="28"/>
      <c r="F18" s="28"/>
      <c r="G18" s="28"/>
      <c r="H18" s="28"/>
    </row>
    <row r="19" spans="1:8">
      <c r="A19" s="28"/>
      <c r="B19" s="28"/>
      <c r="C19" s="28"/>
      <c r="D19" s="28"/>
      <c r="E19" s="28"/>
      <c r="F19" s="28"/>
      <c r="G19" s="28"/>
      <c r="H19" s="28"/>
    </row>
    <row r="20" spans="1:8">
      <c r="A20" s="30" t="s">
        <v>97</v>
      </c>
      <c r="B20" s="31">
        <f>+B3*4</f>
        <v>1300</v>
      </c>
      <c r="C20" s="32">
        <f>+D17</f>
        <v>11500</v>
      </c>
      <c r="D20" s="32">
        <f>B20*C20</f>
        <v>14950000</v>
      </c>
      <c r="E20" s="28"/>
      <c r="F20" s="28"/>
      <c r="G20" s="28"/>
      <c r="H20" s="28"/>
    </row>
    <row r="21" spans="1:8">
      <c r="A21" s="30" t="s">
        <v>78</v>
      </c>
      <c r="B21" s="31">
        <f>+B4*4</f>
        <v>200</v>
      </c>
      <c r="C21" s="33">
        <f>+C4</f>
        <v>30000</v>
      </c>
      <c r="D21" s="32">
        <f>B21*C21</f>
        <v>6000000</v>
      </c>
      <c r="E21" s="28"/>
      <c r="F21" s="28"/>
      <c r="G21" s="28"/>
      <c r="H21" s="28"/>
    </row>
    <row r="22" spans="1:8">
      <c r="A22" s="30" t="s">
        <v>80</v>
      </c>
      <c r="B22" s="31">
        <f>+B5*4</f>
        <v>100</v>
      </c>
      <c r="C22" s="33">
        <f>+C5</f>
        <v>50000</v>
      </c>
      <c r="D22" s="43">
        <f>B22*C22</f>
        <v>5000000</v>
      </c>
      <c r="E22" s="28"/>
      <c r="F22" s="28"/>
      <c r="G22" s="28"/>
      <c r="H22" s="28"/>
    </row>
    <row r="23" spans="1:8">
      <c r="A23" s="35" t="s">
        <v>33</v>
      </c>
      <c r="B23" s="36">
        <f>SUM(B20:B22)</f>
        <v>1600</v>
      </c>
      <c r="C23" s="37"/>
      <c r="D23" s="38">
        <f>SUM(D20:D22)</f>
        <v>25950000</v>
      </c>
      <c r="E23" s="28"/>
      <c r="F23" s="28"/>
      <c r="G23" s="28"/>
      <c r="H23" s="28"/>
    </row>
    <row r="24" spans="1:8">
      <c r="A24" s="28"/>
      <c r="B24" s="28"/>
      <c r="C24" s="28"/>
      <c r="D24" s="28"/>
      <c r="E24" s="28"/>
      <c r="F24" s="28"/>
      <c r="G24" s="28"/>
      <c r="H24" s="28"/>
    </row>
  </sheetData>
  <mergeCells count="2">
    <mergeCell ref="A1:G1"/>
    <mergeCell ref="F10:F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8C69F-B00F-4896-A74B-CBBC88CC3F4D}">
  <dimension ref="A1:D8"/>
  <sheetViews>
    <sheetView workbookViewId="0">
      <selection activeCell="A8" sqref="A8:D8"/>
    </sheetView>
  </sheetViews>
  <sheetFormatPr defaultRowHeight="14.4"/>
  <cols>
    <col min="1" max="1" width="15" customWidth="1"/>
    <col min="2" max="2" width="13.88671875" customWidth="1"/>
    <col min="3" max="3" width="14.33203125" customWidth="1"/>
    <col min="4" max="4" width="23.6640625" customWidth="1"/>
  </cols>
  <sheetData>
    <row r="1" spans="1:4" ht="25.95" customHeight="1">
      <c r="A1" s="182" t="s">
        <v>98</v>
      </c>
      <c r="B1" s="183"/>
      <c r="C1" s="183"/>
      <c r="D1" s="184"/>
    </row>
    <row r="2" spans="1:4" ht="29.4" customHeight="1">
      <c r="A2" s="152" t="s">
        <v>99</v>
      </c>
      <c r="B2" s="152" t="s">
        <v>100</v>
      </c>
      <c r="C2" s="152" t="s">
        <v>73</v>
      </c>
      <c r="D2" s="152" t="s">
        <v>33</v>
      </c>
    </row>
    <row r="3" spans="1:4">
      <c r="A3" s="30">
        <v>1</v>
      </c>
      <c r="B3" s="31">
        <v>215</v>
      </c>
      <c r="C3" s="32">
        <v>3000</v>
      </c>
      <c r="D3" s="32">
        <f>B3*C3</f>
        <v>645000</v>
      </c>
    </row>
    <row r="4" spans="1:4">
      <c r="A4" s="30">
        <v>2</v>
      </c>
      <c r="B4" s="31">
        <v>431</v>
      </c>
      <c r="C4" s="32">
        <v>5000</v>
      </c>
      <c r="D4" s="32">
        <f>B4*C4</f>
        <v>2155000</v>
      </c>
    </row>
    <row r="5" spans="1:4">
      <c r="A5" s="30">
        <v>3</v>
      </c>
      <c r="B5" s="31">
        <v>220</v>
      </c>
      <c r="C5" s="32">
        <v>10000</v>
      </c>
      <c r="D5" s="32">
        <f>B5*C5</f>
        <v>2200000</v>
      </c>
    </row>
    <row r="6" spans="1:4">
      <c r="A6" s="145" t="s">
        <v>33</v>
      </c>
      <c r="B6" s="146">
        <v>860</v>
      </c>
      <c r="C6" s="147"/>
      <c r="D6" s="148">
        <f>SUM(D3:D5)</f>
        <v>5000000</v>
      </c>
    </row>
    <row r="7" spans="1:4">
      <c r="A7" s="149" t="s">
        <v>101</v>
      </c>
      <c r="B7" s="150">
        <f>B6*4</f>
        <v>3440</v>
      </c>
      <c r="C7" s="147"/>
      <c r="D7" s="148">
        <f>D6*4</f>
        <v>20000000</v>
      </c>
    </row>
    <row r="8" spans="1:4" ht="244.2" customHeight="1">
      <c r="A8" s="188" t="s">
        <v>102</v>
      </c>
      <c r="B8" s="189"/>
      <c r="C8" s="189"/>
      <c r="D8" s="190"/>
    </row>
  </sheetData>
  <mergeCells count="2">
    <mergeCell ref="A8:D8"/>
    <mergeCell ref="A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AF0D1-A288-4672-9750-5F59EF5DBE77}">
  <dimension ref="A1:F16"/>
  <sheetViews>
    <sheetView workbookViewId="0">
      <selection activeCell="A16" sqref="A16:F16"/>
    </sheetView>
  </sheetViews>
  <sheetFormatPr defaultRowHeight="14.4"/>
  <cols>
    <col min="1" max="1" width="43.6640625" customWidth="1"/>
    <col min="3" max="3" width="10.109375" customWidth="1"/>
    <col min="4" max="4" width="11.44140625" customWidth="1"/>
    <col min="5" max="5" width="16.33203125" customWidth="1"/>
    <col min="6" max="6" width="27.88671875" customWidth="1"/>
  </cols>
  <sheetData>
    <row r="1" spans="1:6" ht="27.6" customHeight="1">
      <c r="A1" s="194" t="s">
        <v>103</v>
      </c>
      <c r="B1" s="195"/>
      <c r="C1" s="195"/>
      <c r="D1" s="195"/>
      <c r="E1" s="195"/>
      <c r="F1" s="196"/>
    </row>
    <row r="2" spans="1:6" ht="57.6">
      <c r="A2" s="128"/>
      <c r="B2" s="128" t="s">
        <v>104</v>
      </c>
      <c r="C2" s="128" t="s">
        <v>105</v>
      </c>
      <c r="D2" s="127" t="s">
        <v>106</v>
      </c>
      <c r="E2" s="128" t="s">
        <v>33</v>
      </c>
      <c r="F2" s="128" t="s">
        <v>75</v>
      </c>
    </row>
    <row r="3" spans="1:6">
      <c r="A3" s="106" t="s">
        <v>107</v>
      </c>
      <c r="B3" s="16">
        <f>45*52</f>
        <v>2340</v>
      </c>
      <c r="C3" s="91">
        <v>175</v>
      </c>
      <c r="D3" s="45">
        <v>0.5</v>
      </c>
      <c r="E3" s="17">
        <f>B3*C3*D3</f>
        <v>204750</v>
      </c>
      <c r="F3" s="191" t="s">
        <v>108</v>
      </c>
    </row>
    <row r="4" spans="1:6">
      <c r="A4" s="107" t="s">
        <v>109</v>
      </c>
      <c r="B4" s="47">
        <f>7*9</f>
        <v>63</v>
      </c>
      <c r="C4" s="91">
        <v>175</v>
      </c>
      <c r="D4" s="21"/>
      <c r="E4" s="46">
        <f>-B4*C4</f>
        <v>-11025</v>
      </c>
      <c r="F4" s="192"/>
    </row>
    <row r="5" spans="1:6">
      <c r="A5" s="108" t="s">
        <v>110</v>
      </c>
      <c r="B5" s="16">
        <f>45*52</f>
        <v>2340</v>
      </c>
      <c r="C5" s="91">
        <v>175</v>
      </c>
      <c r="D5" s="45">
        <v>0.5</v>
      </c>
      <c r="E5" s="17">
        <f>B5*C5*D5</f>
        <v>204750</v>
      </c>
      <c r="F5" s="192"/>
    </row>
    <row r="6" spans="1:6">
      <c r="A6" s="107" t="s">
        <v>109</v>
      </c>
      <c r="B6" s="47">
        <f>7*9</f>
        <v>63</v>
      </c>
      <c r="C6" s="91">
        <v>175</v>
      </c>
      <c r="D6" s="21"/>
      <c r="E6" s="46">
        <f>-B6*C6</f>
        <v>-11025</v>
      </c>
      <c r="F6" s="192"/>
    </row>
    <row r="7" spans="1:6">
      <c r="A7" s="15"/>
      <c r="B7" s="16"/>
      <c r="C7" s="21"/>
      <c r="D7" s="21"/>
      <c r="E7" s="17"/>
      <c r="F7" s="192"/>
    </row>
    <row r="8" spans="1:6">
      <c r="A8" s="134" t="s">
        <v>82</v>
      </c>
      <c r="B8" s="135"/>
      <c r="C8" s="136"/>
      <c r="D8" s="136"/>
      <c r="E8" s="137">
        <f>SUM(E3:E6)</f>
        <v>387450</v>
      </c>
      <c r="F8" s="192"/>
    </row>
    <row r="9" spans="1:6">
      <c r="A9" s="18"/>
      <c r="B9" s="19"/>
      <c r="C9" s="20"/>
      <c r="D9" s="20"/>
      <c r="E9" s="21"/>
      <c r="F9" s="192"/>
    </row>
    <row r="10" spans="1:6">
      <c r="A10" s="92" t="s">
        <v>111</v>
      </c>
      <c r="B10" s="19"/>
      <c r="C10" s="20"/>
      <c r="D10" s="20"/>
      <c r="E10" s="21">
        <f>E8</f>
        <v>387450</v>
      </c>
      <c r="F10" s="192"/>
    </row>
    <row r="11" spans="1:6">
      <c r="A11" s="92" t="s">
        <v>112</v>
      </c>
      <c r="B11" s="19"/>
      <c r="C11" s="20"/>
      <c r="D11" s="20"/>
      <c r="E11" s="21">
        <f>E8*2</f>
        <v>774900</v>
      </c>
      <c r="F11" s="192"/>
    </row>
    <row r="12" spans="1:6">
      <c r="A12" s="92" t="s">
        <v>113</v>
      </c>
      <c r="B12" s="19"/>
      <c r="C12" s="20"/>
      <c r="D12" s="20"/>
      <c r="E12" s="21">
        <f>E8*2</f>
        <v>774900</v>
      </c>
      <c r="F12" s="192"/>
    </row>
    <row r="13" spans="1:6">
      <c r="A13" s="92" t="s">
        <v>114</v>
      </c>
      <c r="B13" s="19"/>
      <c r="C13" s="20"/>
      <c r="D13" s="20"/>
      <c r="E13" s="21">
        <f>E8*2</f>
        <v>774900</v>
      </c>
      <c r="F13" s="192"/>
    </row>
    <row r="14" spans="1:6">
      <c r="A14" s="92"/>
      <c r="B14" s="19"/>
      <c r="C14" s="20"/>
      <c r="D14" s="20"/>
      <c r="E14" s="21"/>
      <c r="F14" s="192"/>
    </row>
    <row r="15" spans="1:6">
      <c r="A15" s="138" t="s">
        <v>84</v>
      </c>
      <c r="B15" s="139"/>
      <c r="C15" s="136"/>
      <c r="D15" s="136"/>
      <c r="E15" s="137">
        <f>SUM(E9:E13)</f>
        <v>2712150</v>
      </c>
      <c r="F15" s="193"/>
    </row>
    <row r="16" spans="1:6" ht="77.400000000000006" customHeight="1">
      <c r="A16" s="181" t="s">
        <v>115</v>
      </c>
      <c r="B16" s="181"/>
      <c r="C16" s="181"/>
      <c r="D16" s="181"/>
      <c r="E16" s="181"/>
      <c r="F16" s="181"/>
    </row>
  </sheetData>
  <mergeCells count="3">
    <mergeCell ref="F3:F15"/>
    <mergeCell ref="A1:F1"/>
    <mergeCell ref="A16:F1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1D34E-7671-4A71-BFFF-6C73C8F30BD8}">
  <dimension ref="A1:I8"/>
  <sheetViews>
    <sheetView workbookViewId="0">
      <selection activeCell="A8" sqref="A8:I8"/>
    </sheetView>
  </sheetViews>
  <sheetFormatPr defaultRowHeight="14.4"/>
  <cols>
    <col min="1" max="1" width="15.88671875" customWidth="1"/>
    <col min="2" max="2" width="11.88671875" customWidth="1"/>
    <col min="3" max="3" width="13.88671875" customWidth="1"/>
    <col min="4" max="4" width="16" customWidth="1"/>
    <col min="5" max="5" width="4" customWidth="1"/>
    <col min="6" max="6" width="27.88671875" customWidth="1"/>
    <col min="7" max="7" width="8.33203125" customWidth="1"/>
    <col min="8" max="8" width="8.6640625" customWidth="1"/>
    <col min="9" max="9" width="19.88671875" customWidth="1"/>
  </cols>
  <sheetData>
    <row r="1" spans="1:9" ht="27" customHeight="1">
      <c r="A1" s="201" t="s">
        <v>116</v>
      </c>
      <c r="B1" s="202"/>
      <c r="C1" s="202"/>
      <c r="D1" s="202"/>
      <c r="E1" s="202"/>
      <c r="F1" s="202"/>
      <c r="G1" s="202"/>
      <c r="H1" s="202"/>
      <c r="I1" s="203"/>
    </row>
    <row r="2" spans="1:9" ht="28.8">
      <c r="A2" s="128" t="s">
        <v>117</v>
      </c>
      <c r="B2" s="127" t="s">
        <v>118</v>
      </c>
      <c r="C2" s="128" t="s">
        <v>73</v>
      </c>
      <c r="D2" s="128" t="s">
        <v>33</v>
      </c>
      <c r="E2" s="132"/>
      <c r="F2" s="128" t="s">
        <v>34</v>
      </c>
      <c r="G2" s="127" t="s">
        <v>119</v>
      </c>
      <c r="H2" s="127" t="s">
        <v>120</v>
      </c>
      <c r="I2" s="128" t="s">
        <v>121</v>
      </c>
    </row>
    <row r="3" spans="1:9" ht="41.4" customHeight="1">
      <c r="A3" s="44" t="s">
        <v>122</v>
      </c>
      <c r="B3" s="16">
        <v>65</v>
      </c>
      <c r="C3" s="17">
        <v>189</v>
      </c>
      <c r="D3" s="17">
        <f>B3*C3-245</f>
        <v>12040</v>
      </c>
      <c r="E3" s="14"/>
      <c r="F3" s="20" t="s">
        <v>123</v>
      </c>
      <c r="G3" s="133">
        <v>30</v>
      </c>
      <c r="H3" s="133">
        <f>B3/G3</f>
        <v>2.1666666666666665</v>
      </c>
      <c r="I3" s="197" t="s">
        <v>124</v>
      </c>
    </row>
    <row r="4" spans="1:9" ht="42.75" customHeight="1">
      <c r="A4" s="44" t="s">
        <v>125</v>
      </c>
      <c r="B4" s="16">
        <v>360</v>
      </c>
      <c r="C4" s="17">
        <v>161</v>
      </c>
      <c r="D4" s="17">
        <f>B4*C4</f>
        <v>57960</v>
      </c>
      <c r="E4" s="14"/>
      <c r="F4" s="20" t="s">
        <v>126</v>
      </c>
      <c r="G4" s="133">
        <v>30</v>
      </c>
      <c r="H4" s="133">
        <v>16</v>
      </c>
      <c r="I4" s="197"/>
    </row>
    <row r="5" spans="1:9" ht="21.6" customHeight="1">
      <c r="A5" s="48"/>
      <c r="B5" s="16"/>
      <c r="C5" s="17"/>
      <c r="D5" s="17">
        <f>B5*C5</f>
        <v>0</v>
      </c>
      <c r="E5" s="14"/>
      <c r="F5" s="49"/>
      <c r="G5" s="133"/>
      <c r="H5" s="133"/>
      <c r="I5" s="129"/>
    </row>
    <row r="6" spans="1:9">
      <c r="A6" s="134" t="s">
        <v>82</v>
      </c>
      <c r="B6" s="135">
        <f>SUM(B3:B5)</f>
        <v>425</v>
      </c>
      <c r="C6" s="136"/>
      <c r="D6" s="137">
        <f>SUM(D3:D5)</f>
        <v>70000</v>
      </c>
      <c r="E6" s="140"/>
      <c r="F6" s="141"/>
      <c r="G6" s="142"/>
      <c r="H6" s="143">
        <f>SUM(H3:H5)</f>
        <v>18.166666666666668</v>
      </c>
      <c r="I6" s="144" t="s">
        <v>127</v>
      </c>
    </row>
    <row r="7" spans="1:9">
      <c r="A7" s="138" t="s">
        <v>84</v>
      </c>
      <c r="B7" s="139">
        <f>B6*4</f>
        <v>1700</v>
      </c>
      <c r="C7" s="136"/>
      <c r="D7" s="137">
        <f>D6*4</f>
        <v>280000</v>
      </c>
      <c r="E7" s="140"/>
      <c r="F7" s="141"/>
      <c r="G7" s="140"/>
      <c r="H7" s="140"/>
      <c r="I7" s="140"/>
    </row>
    <row r="8" spans="1:9" ht="64.2" customHeight="1">
      <c r="A8" s="198" t="s">
        <v>128</v>
      </c>
      <c r="B8" s="199"/>
      <c r="C8" s="199"/>
      <c r="D8" s="199"/>
      <c r="E8" s="199"/>
      <c r="F8" s="199"/>
      <c r="G8" s="199"/>
      <c r="H8" s="199"/>
      <c r="I8" s="200"/>
    </row>
  </sheetData>
  <mergeCells count="3">
    <mergeCell ref="I3:I4"/>
    <mergeCell ref="A8:I8"/>
    <mergeCell ref="A1:I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747B0-9F32-42ED-81E9-91CEC36C3D3D}">
  <dimension ref="A1:E6"/>
  <sheetViews>
    <sheetView workbookViewId="0">
      <selection activeCell="A4" sqref="A4:D5"/>
    </sheetView>
  </sheetViews>
  <sheetFormatPr defaultRowHeight="14.4"/>
  <cols>
    <col min="1" max="1" width="37.6640625" customWidth="1"/>
    <col min="2" max="2" width="13.6640625" customWidth="1"/>
    <col min="3" max="3" width="16.33203125" customWidth="1"/>
    <col min="4" max="4" width="15.33203125" customWidth="1"/>
    <col min="5" max="5" width="4.33203125" customWidth="1"/>
  </cols>
  <sheetData>
    <row r="1" spans="1:5" ht="30.6" customHeight="1">
      <c r="A1" s="204" t="s">
        <v>129</v>
      </c>
      <c r="B1" s="204"/>
      <c r="C1" s="204"/>
      <c r="D1" s="204"/>
      <c r="E1" s="13"/>
    </row>
    <row r="2" spans="1:5" ht="33.6" customHeight="1">
      <c r="A2" s="127" t="s">
        <v>130</v>
      </c>
      <c r="B2" s="127" t="s">
        <v>120</v>
      </c>
      <c r="C2" s="127" t="s">
        <v>131</v>
      </c>
      <c r="D2" s="128" t="s">
        <v>33</v>
      </c>
    </row>
    <row r="3" spans="1:5" ht="56.4" customHeight="1">
      <c r="A3" s="106" t="s">
        <v>132</v>
      </c>
      <c r="B3" s="16">
        <v>24</v>
      </c>
      <c r="C3" s="17">
        <v>4000</v>
      </c>
      <c r="D3" s="17">
        <f>B3*C3</f>
        <v>96000</v>
      </c>
    </row>
    <row r="4" spans="1:5">
      <c r="A4" s="134" t="s">
        <v>82</v>
      </c>
      <c r="B4" s="135">
        <f>SUM(B3:B3)</f>
        <v>24</v>
      </c>
      <c r="C4" s="136"/>
      <c r="D4" s="137">
        <f>SUM(D3:D3)</f>
        <v>96000</v>
      </c>
    </row>
    <row r="5" spans="1:5">
      <c r="A5" s="138" t="s">
        <v>133</v>
      </c>
      <c r="B5" s="139">
        <f>B4*4</f>
        <v>96</v>
      </c>
      <c r="C5" s="136"/>
      <c r="D5" s="137">
        <f>D4*4</f>
        <v>384000</v>
      </c>
    </row>
    <row r="6" spans="1:5" ht="112.95" customHeight="1">
      <c r="A6" s="205" t="s">
        <v>134</v>
      </c>
      <c r="B6" s="206"/>
      <c r="C6" s="206"/>
      <c r="D6" s="207"/>
    </row>
  </sheetData>
  <mergeCells count="2">
    <mergeCell ref="A1:D1"/>
    <mergeCell ref="A6:D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6D1C-184E-4FE7-86B0-6E4C1312B515}">
  <dimension ref="A1:I29"/>
  <sheetViews>
    <sheetView workbookViewId="0">
      <selection activeCell="A8" sqref="A8"/>
    </sheetView>
  </sheetViews>
  <sheetFormatPr defaultRowHeight="14.4"/>
  <cols>
    <col min="1" max="1" width="44.5546875" customWidth="1"/>
    <col min="2" max="2" width="12.33203125" bestFit="1" customWidth="1"/>
    <col min="3" max="3" width="12.33203125" customWidth="1"/>
    <col min="4" max="4" width="13.6640625" customWidth="1"/>
    <col min="5" max="5" width="12.44140625" customWidth="1"/>
    <col min="6" max="6" width="12.33203125" bestFit="1" customWidth="1"/>
    <col min="9" max="9" width="9.6640625" bestFit="1" customWidth="1"/>
  </cols>
  <sheetData>
    <row r="1" spans="1:9" ht="28.2" customHeight="1">
      <c r="A1" s="204" t="s">
        <v>135</v>
      </c>
      <c r="B1" s="204"/>
      <c r="C1" s="204"/>
      <c r="D1" s="204"/>
      <c r="E1" s="204"/>
      <c r="F1" s="204"/>
    </row>
    <row r="2" spans="1:9" ht="19.95" customHeight="1">
      <c r="A2" s="130" t="s">
        <v>136</v>
      </c>
      <c r="B2" s="99" t="s">
        <v>137</v>
      </c>
      <c r="C2" s="99" t="s">
        <v>112</v>
      </c>
      <c r="D2" s="99" t="s">
        <v>113</v>
      </c>
      <c r="E2" s="99" t="s">
        <v>138</v>
      </c>
      <c r="F2" s="100" t="s">
        <v>139</v>
      </c>
    </row>
    <row r="3" spans="1:9" ht="19.95" customHeight="1">
      <c r="A3" s="101" t="s">
        <v>140</v>
      </c>
      <c r="B3" s="99"/>
      <c r="C3" s="99"/>
      <c r="D3" s="99"/>
      <c r="E3" s="99"/>
      <c r="F3" s="100"/>
    </row>
    <row r="4" spans="1:9" ht="16.95" customHeight="1">
      <c r="A4" s="111" t="s">
        <v>141</v>
      </c>
      <c r="B4" s="93">
        <v>23000</v>
      </c>
      <c r="C4" s="93">
        <v>23000</v>
      </c>
      <c r="D4" s="93">
        <v>23000</v>
      </c>
      <c r="E4" s="93">
        <v>23000</v>
      </c>
      <c r="F4" s="94">
        <f>SUM(B4:E4)</f>
        <v>92000</v>
      </c>
    </row>
    <row r="5" spans="1:9">
      <c r="A5" s="102" t="s">
        <v>142</v>
      </c>
      <c r="B5" s="93">
        <v>22500</v>
      </c>
      <c r="C5" s="93">
        <v>22500</v>
      </c>
      <c r="D5" s="93">
        <v>22500</v>
      </c>
      <c r="E5" s="93">
        <v>22500</v>
      </c>
      <c r="F5" s="94">
        <f>SUM(B5:E5)</f>
        <v>90000</v>
      </c>
    </row>
    <row r="6" spans="1:9">
      <c r="A6" s="102" t="s">
        <v>143</v>
      </c>
      <c r="B6" s="122">
        <v>18200</v>
      </c>
      <c r="C6" s="122">
        <v>18200</v>
      </c>
      <c r="D6" s="122">
        <v>18200</v>
      </c>
      <c r="E6" s="122">
        <v>18200</v>
      </c>
      <c r="F6" s="123">
        <f>SUM(B6:E6)</f>
        <v>72800</v>
      </c>
    </row>
    <row r="7" spans="1:9">
      <c r="A7" s="102"/>
      <c r="B7" s="95">
        <f>SUM(B4:B6)</f>
        <v>63700</v>
      </c>
      <c r="C7" s="95">
        <f>SUM(C4:C6)</f>
        <v>63700</v>
      </c>
      <c r="D7" s="95">
        <f>SUM(D4:D6)</f>
        <v>63700</v>
      </c>
      <c r="E7" s="95">
        <f>SUM(E4:E6)</f>
        <v>63700</v>
      </c>
      <c r="F7" s="94">
        <f>SUM(F4:F6)</f>
        <v>254800</v>
      </c>
    </row>
    <row r="8" spans="1:9">
      <c r="A8" s="102"/>
      <c r="B8" s="95"/>
      <c r="C8" s="95"/>
      <c r="D8" s="95"/>
      <c r="E8" s="95"/>
      <c r="F8" s="94"/>
    </row>
    <row r="9" spans="1:9">
      <c r="A9" s="101" t="s">
        <v>144</v>
      </c>
      <c r="B9" s="120">
        <f>0.15*B7</f>
        <v>9555</v>
      </c>
      <c r="C9" s="120">
        <f>0.15*C7</f>
        <v>9555</v>
      </c>
      <c r="D9" s="120">
        <f>0.15*D7</f>
        <v>9555</v>
      </c>
      <c r="E9" s="120">
        <f>0.15*E7</f>
        <v>9555</v>
      </c>
      <c r="F9" s="121">
        <f>SUM(B9:E9)</f>
        <v>38220</v>
      </c>
    </row>
    <row r="10" spans="1:9">
      <c r="A10" s="102"/>
      <c r="B10" s="95"/>
      <c r="C10" s="95"/>
      <c r="D10" s="95"/>
      <c r="E10" s="95"/>
      <c r="F10" s="94"/>
    </row>
    <row r="11" spans="1:9">
      <c r="A11" s="101" t="s">
        <v>145</v>
      </c>
      <c r="B11" s="117">
        <f>B7+B9</f>
        <v>73255</v>
      </c>
      <c r="C11" s="117">
        <f>C7+C9</f>
        <v>73255</v>
      </c>
      <c r="D11" s="117">
        <f>D7+D9</f>
        <v>73255</v>
      </c>
      <c r="E11" s="117">
        <f>E7+E9</f>
        <v>73255</v>
      </c>
      <c r="F11" s="118">
        <f>SUM(B11:E11)</f>
        <v>293020</v>
      </c>
      <c r="I11" s="119"/>
    </row>
    <row r="12" spans="1:9">
      <c r="A12" s="102"/>
      <c r="B12" s="95"/>
      <c r="C12" s="95"/>
      <c r="D12" s="95"/>
      <c r="E12" s="95"/>
      <c r="F12" s="94"/>
    </row>
    <row r="13" spans="1:9">
      <c r="A13" s="101" t="s">
        <v>146</v>
      </c>
      <c r="B13" s="96"/>
      <c r="C13" s="96"/>
      <c r="D13" s="96"/>
      <c r="E13" s="96"/>
      <c r="F13" s="97"/>
    </row>
    <row r="14" spans="1:9">
      <c r="A14" s="102" t="s">
        <v>147</v>
      </c>
      <c r="B14" s="93">
        <v>16250</v>
      </c>
      <c r="C14" s="93">
        <v>16250</v>
      </c>
      <c r="D14" s="93">
        <v>16250</v>
      </c>
      <c r="E14" s="93">
        <v>16250</v>
      </c>
      <c r="F14" s="94">
        <f>SUM(B14:E14)</f>
        <v>65000</v>
      </c>
      <c r="I14" s="90"/>
    </row>
    <row r="15" spans="1:9">
      <c r="A15" s="102" t="s">
        <v>148</v>
      </c>
      <c r="B15" s="93">
        <f>0.15*B14</f>
        <v>2437.5</v>
      </c>
      <c r="C15" s="93">
        <f>0.15*C14</f>
        <v>2437.5</v>
      </c>
      <c r="D15" s="93">
        <f>0.15*D14</f>
        <v>2437.5</v>
      </c>
      <c r="E15" s="93">
        <f>0.15*E14</f>
        <v>2437.5</v>
      </c>
      <c r="F15" s="94">
        <f>SUM(B15:E15)</f>
        <v>9750</v>
      </c>
    </row>
    <row r="16" spans="1:9">
      <c r="A16" s="102" t="s">
        <v>149</v>
      </c>
      <c r="B16" s="122">
        <f>1866-0.5</f>
        <v>1865.5</v>
      </c>
      <c r="C16" s="122">
        <f t="shared" ref="C16:E16" si="0">1866-0.5</f>
        <v>1865.5</v>
      </c>
      <c r="D16" s="122">
        <f t="shared" si="0"/>
        <v>1865.5</v>
      </c>
      <c r="E16" s="122">
        <f t="shared" si="0"/>
        <v>1865.5</v>
      </c>
      <c r="F16" s="123">
        <f>SUM(B16:E16)</f>
        <v>7462</v>
      </c>
    </row>
    <row r="17" spans="1:6">
      <c r="A17" s="102"/>
      <c r="B17" s="95">
        <f>SUM(B14:B16)</f>
        <v>20553</v>
      </c>
      <c r="C17" s="95">
        <f>SUM(C14:C16)</f>
        <v>20553</v>
      </c>
      <c r="D17" s="95">
        <f>SUM(D14:D16)</f>
        <v>20553</v>
      </c>
      <c r="E17" s="95">
        <f>SUM(E14:E16)</f>
        <v>20553</v>
      </c>
      <c r="F17" s="94">
        <f>SUM(F14:F16)</f>
        <v>82212</v>
      </c>
    </row>
    <row r="18" spans="1:6">
      <c r="A18" s="102"/>
      <c r="B18" s="95"/>
      <c r="C18" s="95"/>
      <c r="D18" s="95"/>
      <c r="E18" s="95"/>
      <c r="F18" s="94"/>
    </row>
    <row r="19" spans="1:6">
      <c r="A19" s="101" t="s">
        <v>103</v>
      </c>
      <c r="B19" s="96"/>
      <c r="C19" s="96"/>
      <c r="D19" s="96"/>
      <c r="E19" s="96"/>
      <c r="F19" s="97"/>
    </row>
    <row r="20" spans="1:6">
      <c r="A20" s="102" t="s">
        <v>150</v>
      </c>
      <c r="B20" s="93">
        <f>216*12</f>
        <v>2592</v>
      </c>
      <c r="C20" s="93">
        <f t="shared" ref="C20:E20" si="1">216*12</f>
        <v>2592</v>
      </c>
      <c r="D20" s="93">
        <f t="shared" si="1"/>
        <v>2592</v>
      </c>
      <c r="E20" s="93">
        <f t="shared" si="1"/>
        <v>2592</v>
      </c>
      <c r="F20" s="94">
        <f>SUM(B20:E20)</f>
        <v>10368</v>
      </c>
    </row>
    <row r="21" spans="1:6">
      <c r="A21" s="102"/>
      <c r="B21" s="95"/>
      <c r="C21" s="95"/>
      <c r="D21" s="95"/>
      <c r="E21" s="95"/>
      <c r="F21" s="94"/>
    </row>
    <row r="22" spans="1:6">
      <c r="A22" s="101" t="s">
        <v>151</v>
      </c>
      <c r="B22" s="96"/>
      <c r="C22" s="96"/>
      <c r="D22" s="96"/>
      <c r="E22" s="96"/>
      <c r="F22" s="97"/>
    </row>
    <row r="23" spans="1:6">
      <c r="A23" s="102" t="s">
        <v>152</v>
      </c>
      <c r="B23" s="93">
        <f>(0.5*600)*12</f>
        <v>3600</v>
      </c>
      <c r="C23" s="93">
        <f>(0.5*600)*12</f>
        <v>3600</v>
      </c>
      <c r="D23" s="93">
        <f>(0.5*600)*12</f>
        <v>3600</v>
      </c>
      <c r="E23" s="93">
        <f>(0.5*600)*12</f>
        <v>3600</v>
      </c>
      <c r="F23" s="94">
        <f>SUM(B23:E23)</f>
        <v>14400</v>
      </c>
    </row>
    <row r="24" spans="1:6">
      <c r="A24" s="102"/>
      <c r="B24" s="95"/>
      <c r="C24" s="95"/>
      <c r="D24" s="95"/>
      <c r="E24" s="95"/>
      <c r="F24" s="94"/>
    </row>
    <row r="25" spans="1:6">
      <c r="A25" s="114" t="s">
        <v>153</v>
      </c>
      <c r="B25" s="115">
        <f>B23+B20+B17+B11</f>
        <v>100000</v>
      </c>
      <c r="C25" s="115">
        <f>C23+C20+C17+C11</f>
        <v>100000</v>
      </c>
      <c r="D25" s="115">
        <f>D23+D20+D17+D11</f>
        <v>100000</v>
      </c>
      <c r="E25" s="115">
        <f>E23+E20+E17+E11</f>
        <v>100000</v>
      </c>
      <c r="F25" s="116">
        <f>SUM(B25:E25)</f>
        <v>400000</v>
      </c>
    </row>
    <row r="26" spans="1:6">
      <c r="A26" s="76"/>
      <c r="B26" s="95"/>
      <c r="C26" s="95"/>
      <c r="D26" s="95"/>
      <c r="E26" s="95"/>
      <c r="F26" s="94"/>
    </row>
    <row r="27" spans="1:6" ht="132" customHeight="1">
      <c r="A27" s="208" t="s">
        <v>154</v>
      </c>
      <c r="B27" s="209"/>
      <c r="C27" s="209"/>
      <c r="D27" s="209"/>
      <c r="E27" s="209"/>
      <c r="F27" s="210"/>
    </row>
    <row r="29" spans="1:6">
      <c r="A29" s="98"/>
    </row>
  </sheetData>
  <mergeCells count="2">
    <mergeCell ref="A27:F27"/>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1F9F3-D5EF-4BA6-A9C3-01F15215D47D}">
  <dimension ref="A1:E7"/>
  <sheetViews>
    <sheetView workbookViewId="0">
      <selection activeCell="A5" sqref="A5"/>
    </sheetView>
  </sheetViews>
  <sheetFormatPr defaultRowHeight="14.4"/>
  <cols>
    <col min="1" max="1" width="40.33203125" customWidth="1"/>
    <col min="2" max="2" width="15.88671875" customWidth="1"/>
    <col min="3" max="3" width="16.5546875" customWidth="1"/>
    <col min="4" max="4" width="16.33203125" customWidth="1"/>
    <col min="5" max="5" width="4.33203125" customWidth="1"/>
  </cols>
  <sheetData>
    <row r="1" spans="1:5" ht="30.6" customHeight="1">
      <c r="A1" s="204" t="s">
        <v>155</v>
      </c>
      <c r="B1" s="204"/>
      <c r="C1" s="204"/>
      <c r="D1" s="204"/>
      <c r="E1" s="13"/>
    </row>
    <row r="2" spans="1:5" ht="33.6" customHeight="1">
      <c r="A2" s="127" t="s">
        <v>156</v>
      </c>
      <c r="B2" s="127" t="s">
        <v>157</v>
      </c>
      <c r="C2" s="127" t="s">
        <v>158</v>
      </c>
      <c r="D2" s="128" t="s">
        <v>33</v>
      </c>
    </row>
    <row r="3" spans="1:5" ht="56.4" customHeight="1">
      <c r="A3" s="106" t="s">
        <v>159</v>
      </c>
      <c r="B3" s="16">
        <v>200</v>
      </c>
      <c r="C3" s="17">
        <v>100</v>
      </c>
      <c r="D3" s="17">
        <f>B3*C3</f>
        <v>20000</v>
      </c>
    </row>
    <row r="4" spans="1:5">
      <c r="A4" s="134" t="s">
        <v>82</v>
      </c>
      <c r="B4" s="135">
        <f>SUM(B3:B3)</f>
        <v>200</v>
      </c>
      <c r="C4" s="136"/>
      <c r="D4" s="137">
        <f>SUM(D3:D3)</f>
        <v>20000</v>
      </c>
    </row>
    <row r="5" spans="1:5" ht="52.95" customHeight="1">
      <c r="A5" s="160" t="s">
        <v>168</v>
      </c>
      <c r="B5" s="151">
        <v>100</v>
      </c>
      <c r="C5" s="17">
        <v>100</v>
      </c>
      <c r="D5" s="17">
        <f>B5*C5</f>
        <v>10000</v>
      </c>
    </row>
    <row r="6" spans="1:5">
      <c r="A6" s="138" t="s">
        <v>84</v>
      </c>
      <c r="B6" s="139">
        <f>SUM(B4:B5)</f>
        <v>300</v>
      </c>
      <c r="C6" s="136"/>
      <c r="D6" s="137">
        <f>SUM(D4:D5)</f>
        <v>30000</v>
      </c>
    </row>
    <row r="7" spans="1:5" ht="80.400000000000006" customHeight="1">
      <c r="A7" s="205" t="s">
        <v>160</v>
      </c>
      <c r="B7" s="206"/>
      <c r="C7" s="206"/>
      <c r="D7" s="207"/>
    </row>
  </sheetData>
  <mergeCells count="2">
    <mergeCell ref="A1:D1"/>
    <mergeCell ref="A7:D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9B36635BFAB54F91DA7FD27C7B8B9A" ma:contentTypeVersion="6" ma:contentTypeDescription="Create a new document." ma:contentTypeScope="" ma:versionID="468a542df0189a867af87d687dd1b033">
  <xsd:schema xmlns:xsd="http://www.w3.org/2001/XMLSchema" xmlns:xs="http://www.w3.org/2001/XMLSchema" xmlns:p="http://schemas.microsoft.com/office/2006/metadata/properties" xmlns:ns2="dcda23cd-b9b7-4be3-996a-4540a57b15ea" xmlns:ns3="b7204a88-e2db-4003-ae2b-11b0df750465" targetNamespace="http://schemas.microsoft.com/office/2006/metadata/properties" ma:root="true" ma:fieldsID="858cf2c2c05a21590633b20e02f7c982" ns2:_="" ns3:_="">
    <xsd:import namespace="dcda23cd-b9b7-4be3-996a-4540a57b15ea"/>
    <xsd:import namespace="b7204a88-e2db-4003-ae2b-11b0df7504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a23cd-b9b7-4be3-996a-4540a57b15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204a88-e2db-4003-ae2b-11b0df7504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A68928-DEBD-4186-9FE8-811F2CA3746C}">
  <ds:schemaRefs>
    <ds:schemaRef ds:uri="http://schemas.microsoft.com/sharepoint/v3/contenttype/forms"/>
  </ds:schemaRefs>
</ds:datastoreItem>
</file>

<file path=customXml/itemProps2.xml><?xml version="1.0" encoding="utf-8"?>
<ds:datastoreItem xmlns:ds="http://schemas.openxmlformats.org/officeDocument/2006/customXml" ds:itemID="{4E029823-D8E0-4949-892A-285EF005F0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a23cd-b9b7-4be3-996a-4540a57b15ea"/>
    <ds:schemaRef ds:uri="b7204a88-e2db-4003-ae2b-11b0df7504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ACAF0C-1E3D-48AC-AC5C-13B490C99E23}">
  <ds:schemaRefs>
    <ds:schemaRef ds:uri="http://schemas.microsoft.com/office/2006/documentManagement/types"/>
    <ds:schemaRef ds:uri="dcda23cd-b9b7-4be3-996a-4540a57b15ea"/>
    <ds:schemaRef ds:uri="http://purl.org/dc/dcmitype/"/>
    <ds:schemaRef ds:uri="http://purl.org/dc/elements/1.1/"/>
    <ds:schemaRef ds:uri="b7204a88-e2db-4003-ae2b-11b0df750465"/>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Total Budget </vt:lpstr>
      <vt:lpstr>BOCES</vt:lpstr>
      <vt:lpstr>Employers</vt:lpstr>
      <vt:lpstr>Complex Care Program</vt:lpstr>
      <vt:lpstr>Transportation</vt:lpstr>
      <vt:lpstr>Wellness Associates</vt:lpstr>
      <vt:lpstr>AVS Consulting</vt:lpstr>
      <vt:lpstr>Refugees Helping Refugees</vt:lpstr>
      <vt:lpstr>HEC</vt:lpstr>
      <vt:lpstr>CCSI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Haradon</dc:creator>
  <cp:keywords/>
  <dc:description/>
  <cp:lastModifiedBy>Katherine Rogala</cp:lastModifiedBy>
  <cp:revision/>
  <dcterms:created xsi:type="dcterms:W3CDTF">2022-07-20T12:40:22Z</dcterms:created>
  <dcterms:modified xsi:type="dcterms:W3CDTF">2022-07-28T12:17:42Z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0x010100DD9B36635BFAB54F91DA7FD27C7B8B9A</vt:lpwstr>
  </property>
</Properties>
</file>